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rene en PC\Irene Personales\Control de Fauna Urbana\La Red\Costos castraciones\"/>
    </mc:Choice>
  </mc:AlternateContent>
  <bookViews>
    <workbookView xWindow="0" yWindow="0" windowWidth="20490" windowHeight="7155"/>
  </bookViews>
  <sheets>
    <sheet name="Precios" sheetId="1" r:id="rId1"/>
    <sheet name="Costos" sheetId="9" r:id="rId2"/>
    <sheet name="Composición porcentual costos" sheetId="11" r:id="rId3"/>
    <sheet name="Hoja1" sheetId="10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11" i="1"/>
  <c r="G12" i="1"/>
  <c r="G13" i="1"/>
  <c r="G14" i="1"/>
  <c r="G15" i="1"/>
  <c r="G16" i="1"/>
  <c r="G17" i="1"/>
  <c r="G19" i="1"/>
  <c r="O1" i="11" l="1"/>
  <c r="K1" i="11"/>
  <c r="G1" i="11"/>
  <c r="C1" i="11"/>
  <c r="B22" i="11" l="1"/>
  <c r="A4" i="9" l="1"/>
  <c r="H4" i="9" s="1"/>
  <c r="B4" i="11" s="1"/>
  <c r="B4" i="9"/>
  <c r="C4" i="9"/>
  <c r="D4" i="9"/>
  <c r="A5" i="9"/>
  <c r="H5" i="9" s="1"/>
  <c r="B5" i="11" s="1"/>
  <c r="B5" i="9"/>
  <c r="C5" i="9"/>
  <c r="D5" i="9"/>
  <c r="E5" i="9"/>
  <c r="A6" i="9"/>
  <c r="H6" i="9" s="1"/>
  <c r="B6" i="11" s="1"/>
  <c r="B6" i="9"/>
  <c r="C6" i="9"/>
  <c r="D6" i="9"/>
  <c r="E6" i="9"/>
  <c r="A7" i="9"/>
  <c r="H7" i="9" s="1"/>
  <c r="B7" i="11" s="1"/>
  <c r="B7" i="9"/>
  <c r="C7" i="9"/>
  <c r="D7" i="9"/>
  <c r="A8" i="9"/>
  <c r="H8" i="9" s="1"/>
  <c r="B8" i="11" s="1"/>
  <c r="B8" i="9"/>
  <c r="C8" i="9"/>
  <c r="D8" i="9"/>
  <c r="A9" i="9"/>
  <c r="H9" i="9" s="1"/>
  <c r="B9" i="11" s="1"/>
  <c r="B9" i="9"/>
  <c r="C9" i="9"/>
  <c r="D9" i="9"/>
  <c r="A10" i="9"/>
  <c r="H10" i="9" s="1"/>
  <c r="B10" i="11" s="1"/>
  <c r="B10" i="9"/>
  <c r="C10" i="9"/>
  <c r="D10" i="9"/>
  <c r="A11" i="9"/>
  <c r="H11" i="9" s="1"/>
  <c r="B11" i="11" s="1"/>
  <c r="B11" i="9"/>
  <c r="C11" i="9"/>
  <c r="D11" i="9"/>
  <c r="E11" i="9"/>
  <c r="A12" i="9"/>
  <c r="H12" i="9" s="1"/>
  <c r="B12" i="11" s="1"/>
  <c r="B12" i="9"/>
  <c r="C12" i="9"/>
  <c r="D12" i="9"/>
  <c r="E12" i="9"/>
  <c r="A13" i="9"/>
  <c r="H13" i="9" s="1"/>
  <c r="B13" i="11" s="1"/>
  <c r="B13" i="9"/>
  <c r="C13" i="9"/>
  <c r="D13" i="9"/>
  <c r="E13" i="9"/>
  <c r="A14" i="9"/>
  <c r="H14" i="9" s="1"/>
  <c r="B14" i="11" s="1"/>
  <c r="B14" i="9"/>
  <c r="C14" i="9"/>
  <c r="D14" i="9"/>
  <c r="E14" i="9"/>
  <c r="A15" i="9"/>
  <c r="H15" i="9" s="1"/>
  <c r="B15" i="11" s="1"/>
  <c r="B15" i="9"/>
  <c r="C15" i="9"/>
  <c r="D15" i="9"/>
  <c r="E15" i="9"/>
  <c r="A16" i="9"/>
  <c r="H16" i="9" s="1"/>
  <c r="B16" i="11" s="1"/>
  <c r="B16" i="9"/>
  <c r="C16" i="9"/>
  <c r="D16" i="9"/>
  <c r="E16" i="9"/>
  <c r="A17" i="9"/>
  <c r="H17" i="9" s="1"/>
  <c r="B17" i="11" s="1"/>
  <c r="B17" i="9"/>
  <c r="C17" i="9"/>
  <c r="D17" i="9"/>
  <c r="E17" i="9"/>
  <c r="A18" i="9"/>
  <c r="H18" i="9" s="1"/>
  <c r="B18" i="11" s="1"/>
  <c r="B18" i="9"/>
  <c r="C18" i="9"/>
  <c r="D18" i="9"/>
  <c r="E18" i="9"/>
  <c r="A19" i="9"/>
  <c r="H19" i="9" s="1"/>
  <c r="B19" i="11" s="1"/>
  <c r="B19" i="9"/>
  <c r="C19" i="9"/>
  <c r="D19" i="9"/>
  <c r="E19" i="9"/>
  <c r="A20" i="9"/>
  <c r="H20" i="9" s="1"/>
  <c r="B20" i="11" s="1"/>
  <c r="B20" i="9"/>
  <c r="C20" i="9"/>
  <c r="D20" i="9"/>
  <c r="E20" i="9"/>
  <c r="A21" i="9"/>
  <c r="H21" i="9" s="1"/>
  <c r="B21" i="11" s="1"/>
  <c r="B21" i="9"/>
  <c r="C21" i="9"/>
  <c r="D21" i="9"/>
  <c r="E21" i="9"/>
  <c r="C3" i="9"/>
  <c r="D3" i="9"/>
  <c r="B3" i="9"/>
  <c r="A3" i="9"/>
  <c r="H3" i="9" s="1"/>
  <c r="B3" i="11" s="1"/>
  <c r="B2" i="9"/>
  <c r="E2" i="9"/>
  <c r="F2" i="9"/>
  <c r="A2" i="9"/>
  <c r="H11" i="1"/>
  <c r="F12" i="9" s="1"/>
  <c r="H10" i="1"/>
  <c r="F11" i="9" s="1"/>
  <c r="E10" i="9"/>
  <c r="E9" i="9"/>
  <c r="E8" i="9"/>
  <c r="E7" i="9"/>
  <c r="H3" i="1"/>
  <c r="F4" i="9" s="1"/>
  <c r="H2" i="1"/>
  <c r="F3" i="9" s="1"/>
  <c r="H20" i="1"/>
  <c r="F21" i="9" s="1"/>
  <c r="K21" i="9" s="1"/>
  <c r="H19" i="1"/>
  <c r="F20" i="9" s="1"/>
  <c r="K20" i="9" s="1"/>
  <c r="H18" i="1"/>
  <c r="F19" i="9" s="1"/>
  <c r="K19" i="9" s="1"/>
  <c r="H17" i="1"/>
  <c r="F18" i="9" s="1"/>
  <c r="K18" i="9" s="1"/>
  <c r="H16" i="1"/>
  <c r="F17" i="9" s="1"/>
  <c r="H15" i="1"/>
  <c r="F16" i="9" s="1"/>
  <c r="K16" i="9" s="1"/>
  <c r="H14" i="1"/>
  <c r="F15" i="9" s="1"/>
  <c r="H13" i="1"/>
  <c r="F14" i="9" s="1"/>
  <c r="W14" i="9" s="1"/>
  <c r="H12" i="1"/>
  <c r="F13" i="9" s="1"/>
  <c r="H6" i="1"/>
  <c r="F7" i="9" s="1"/>
  <c r="H5" i="1"/>
  <c r="F6" i="9" s="1"/>
  <c r="W6" i="9" s="1"/>
  <c r="H4" i="1"/>
  <c r="F5" i="9" s="1"/>
  <c r="K17" i="9" l="1"/>
  <c r="O17" i="9"/>
  <c r="J13" i="9"/>
  <c r="V13" i="9"/>
  <c r="N13" i="9"/>
  <c r="R13" i="9"/>
  <c r="V6" i="9"/>
  <c r="J6" i="9"/>
  <c r="R6" i="9"/>
  <c r="N6" i="9"/>
  <c r="H8" i="1"/>
  <c r="F9" i="9" s="1"/>
  <c r="K9" i="9" s="1"/>
  <c r="V18" i="9"/>
  <c r="J18" i="9"/>
  <c r="N18" i="9"/>
  <c r="R18" i="9"/>
  <c r="E4" i="9"/>
  <c r="H9" i="1"/>
  <c r="F10" i="9" s="1"/>
  <c r="W10" i="9" s="1"/>
  <c r="R15" i="9"/>
  <c r="V15" i="9"/>
  <c r="J15" i="9"/>
  <c r="N15" i="9"/>
  <c r="R11" i="9"/>
  <c r="V11" i="9"/>
  <c r="J11" i="9"/>
  <c r="N11" i="9"/>
  <c r="J3" i="9"/>
  <c r="N3" i="9"/>
  <c r="R3" i="9"/>
  <c r="V3" i="9"/>
  <c r="N20" i="9"/>
  <c r="R20" i="9"/>
  <c r="V20" i="9"/>
  <c r="J20" i="9"/>
  <c r="J17" i="9"/>
  <c r="N17" i="9"/>
  <c r="R17" i="9"/>
  <c r="V17" i="9"/>
  <c r="V14" i="9"/>
  <c r="J14" i="9"/>
  <c r="R14" i="9"/>
  <c r="N14" i="9"/>
  <c r="V10" i="9"/>
  <c r="J10" i="9"/>
  <c r="N10" i="9"/>
  <c r="R10" i="9"/>
  <c r="J9" i="9"/>
  <c r="N9" i="9"/>
  <c r="R9" i="9"/>
  <c r="V9" i="9"/>
  <c r="N8" i="9"/>
  <c r="R8" i="9"/>
  <c r="V8" i="9"/>
  <c r="J8" i="9"/>
  <c r="R7" i="9"/>
  <c r="V7" i="9"/>
  <c r="N7" i="9"/>
  <c r="J7" i="9"/>
  <c r="S17" i="9"/>
  <c r="W17" i="9"/>
  <c r="R19" i="9"/>
  <c r="V19" i="9"/>
  <c r="J19" i="9"/>
  <c r="N19" i="9"/>
  <c r="N16" i="9"/>
  <c r="R16" i="9"/>
  <c r="V16" i="9"/>
  <c r="J16" i="9"/>
  <c r="N12" i="9"/>
  <c r="R12" i="9"/>
  <c r="V12" i="9"/>
  <c r="J12" i="9"/>
  <c r="J5" i="9"/>
  <c r="N5" i="9"/>
  <c r="V5" i="9"/>
  <c r="R5" i="9"/>
  <c r="R21" i="9"/>
  <c r="V21" i="9"/>
  <c r="J21" i="9"/>
  <c r="N4" i="9"/>
  <c r="R4" i="9"/>
  <c r="V4" i="9"/>
  <c r="J4" i="9"/>
  <c r="O16" i="9"/>
  <c r="W16" i="9"/>
  <c r="S16" i="9"/>
  <c r="W12" i="9"/>
  <c r="S12" i="9"/>
  <c r="O12" i="9"/>
  <c r="K12" i="9"/>
  <c r="S6" i="9"/>
  <c r="K6" i="9"/>
  <c r="O6" i="9"/>
  <c r="W5" i="9"/>
  <c r="S5" i="9"/>
  <c r="O5" i="9"/>
  <c r="K5" i="9"/>
  <c r="O11" i="9"/>
  <c r="K11" i="9"/>
  <c r="W11" i="9"/>
  <c r="S11" i="9"/>
  <c r="H7" i="1"/>
  <c r="F8" i="9" s="1"/>
  <c r="K7" i="9"/>
  <c r="W7" i="9"/>
  <c r="O7" i="9"/>
  <c r="S7" i="9"/>
  <c r="E3" i="9"/>
  <c r="K4" i="9"/>
  <c r="S4" i="9"/>
  <c r="O4" i="9"/>
  <c r="W4" i="9"/>
  <c r="O15" i="9"/>
  <c r="S15" i="9"/>
  <c r="W15" i="9"/>
  <c r="K15" i="9"/>
  <c r="O14" i="9"/>
  <c r="S14" i="9"/>
  <c r="K14" i="9"/>
  <c r="W21" i="9"/>
  <c r="W13" i="9"/>
  <c r="S21" i="9"/>
  <c r="S13" i="9"/>
  <c r="O13" i="9"/>
  <c r="W20" i="9"/>
  <c r="W19" i="9"/>
  <c r="W18" i="9"/>
  <c r="W9" i="9" l="1"/>
  <c r="S9" i="9"/>
  <c r="O9" i="9"/>
  <c r="S10" i="9"/>
  <c r="K10" i="9"/>
  <c r="O10" i="9"/>
  <c r="K8" i="9"/>
  <c r="S8" i="9"/>
  <c r="W8" i="9"/>
  <c r="O8" i="9"/>
  <c r="O20" i="9"/>
  <c r="S20" i="9"/>
  <c r="O19" i="9"/>
  <c r="S19" i="9"/>
  <c r="O18" i="9"/>
  <c r="S18" i="9"/>
  <c r="K13" i="9"/>
  <c r="W3" i="9" l="1"/>
  <c r="S3" i="9"/>
  <c r="O3" i="9"/>
  <c r="K3" i="9"/>
  <c r="K22" i="9" l="1"/>
  <c r="S22" i="9" s="1"/>
  <c r="K23" i="9" l="1"/>
  <c r="C14" i="11" s="1"/>
  <c r="S23" i="9"/>
  <c r="W22" i="9"/>
  <c r="O22" i="9"/>
  <c r="C8" i="11" l="1"/>
  <c r="C15" i="11"/>
  <c r="C19" i="11"/>
  <c r="C10" i="11"/>
  <c r="C4" i="11"/>
  <c r="C6" i="11"/>
  <c r="C17" i="11"/>
  <c r="C11" i="11"/>
  <c r="C7" i="11"/>
  <c r="C16" i="11"/>
  <c r="C18" i="11"/>
  <c r="C5" i="11"/>
  <c r="C22" i="11"/>
  <c r="D22" i="11" s="1"/>
  <c r="C3" i="11"/>
  <c r="C21" i="11"/>
  <c r="C13" i="11"/>
  <c r="C20" i="11"/>
  <c r="C9" i="11"/>
  <c r="C12" i="11"/>
  <c r="O23" i="9"/>
  <c r="G22" i="11" s="1"/>
  <c r="H22" i="11" s="1"/>
  <c r="W23" i="9"/>
  <c r="O25" i="9" s="1"/>
  <c r="K16" i="11"/>
  <c r="K8" i="11"/>
  <c r="K18" i="11"/>
  <c r="K17" i="11"/>
  <c r="K15" i="11"/>
  <c r="K7" i="11"/>
  <c r="K14" i="11"/>
  <c r="K6" i="11"/>
  <c r="K21" i="11"/>
  <c r="K13" i="11"/>
  <c r="K5" i="11"/>
  <c r="K19" i="11"/>
  <c r="K9" i="11"/>
  <c r="K20" i="11"/>
  <c r="K12" i="11"/>
  <c r="K4" i="11"/>
  <c r="K11" i="11"/>
  <c r="K10" i="11"/>
  <c r="K3" i="11"/>
  <c r="K22" i="11"/>
  <c r="L22" i="11" s="1"/>
  <c r="D3" i="11" l="1"/>
  <c r="E7" i="11" s="1"/>
  <c r="D19" i="11"/>
  <c r="E21" i="11" s="1"/>
  <c r="O22" i="11"/>
  <c r="P22" i="11" s="1"/>
  <c r="D13" i="11"/>
  <c r="E15" i="11" s="1"/>
  <c r="D8" i="11"/>
  <c r="E8" i="11" s="1"/>
  <c r="L8" i="11"/>
  <c r="M10" i="11" s="1"/>
  <c r="L3" i="11"/>
  <c r="M5" i="11" s="1"/>
  <c r="L19" i="11"/>
  <c r="M19" i="11" s="1"/>
  <c r="O14" i="11"/>
  <c r="O6" i="11"/>
  <c r="O16" i="11"/>
  <c r="O21" i="11"/>
  <c r="O13" i="11"/>
  <c r="O5" i="11"/>
  <c r="O7" i="11"/>
  <c r="O20" i="11"/>
  <c r="O12" i="11"/>
  <c r="O4" i="11"/>
  <c r="O19" i="11"/>
  <c r="O11" i="11"/>
  <c r="O17" i="11"/>
  <c r="O18" i="11"/>
  <c r="O10" i="11"/>
  <c r="O9" i="11"/>
  <c r="O8" i="11"/>
  <c r="O15" i="11"/>
  <c r="O3" i="11"/>
  <c r="O26" i="9"/>
  <c r="L13" i="11"/>
  <c r="M18" i="11" s="1"/>
  <c r="G17" i="11"/>
  <c r="G16" i="11"/>
  <c r="G8" i="11"/>
  <c r="G11" i="11"/>
  <c r="G15" i="11"/>
  <c r="G7" i="11"/>
  <c r="G5" i="11"/>
  <c r="G10" i="11"/>
  <c r="G14" i="11"/>
  <c r="G6" i="11"/>
  <c r="G21" i="11"/>
  <c r="G13" i="11"/>
  <c r="G18" i="11"/>
  <c r="G20" i="11"/>
  <c r="G12" i="11"/>
  <c r="G4" i="11"/>
  <c r="G19" i="11"/>
  <c r="G9" i="11"/>
  <c r="G3" i="11"/>
  <c r="E3" i="11"/>
  <c r="E19" i="11"/>
  <c r="E20" i="11" l="1"/>
  <c r="E13" i="11"/>
  <c r="E17" i="11"/>
  <c r="E16" i="11"/>
  <c r="E14" i="11"/>
  <c r="E18" i="11"/>
  <c r="M9" i="11"/>
  <c r="E4" i="11"/>
  <c r="E10" i="11"/>
  <c r="E12" i="11"/>
  <c r="E9" i="11"/>
  <c r="E5" i="11"/>
  <c r="M12" i="11"/>
  <c r="E6" i="11"/>
  <c r="M8" i="11"/>
  <c r="M11" i="11"/>
  <c r="E11" i="11"/>
  <c r="M20" i="11"/>
  <c r="P8" i="11"/>
  <c r="Q8" i="11" s="1"/>
  <c r="M7" i="11"/>
  <c r="P3" i="11"/>
  <c r="Q4" i="11" s="1"/>
  <c r="P19" i="11"/>
  <c r="Q21" i="11" s="1"/>
  <c r="M17" i="11"/>
  <c r="P13" i="11"/>
  <c r="Q17" i="11" s="1"/>
  <c r="M14" i="11"/>
  <c r="M3" i="11"/>
  <c r="M21" i="11"/>
  <c r="H3" i="11"/>
  <c r="I5" i="11" s="1"/>
  <c r="H8" i="11"/>
  <c r="I9" i="11" s="1"/>
  <c r="H19" i="11"/>
  <c r="I19" i="11" s="1"/>
  <c r="M4" i="11"/>
  <c r="M15" i="11"/>
  <c r="M16" i="11"/>
  <c r="M13" i="11"/>
  <c r="H13" i="11"/>
  <c r="I18" i="11" s="1"/>
  <c r="M6" i="11"/>
  <c r="I13" i="11" l="1"/>
  <c r="Q5" i="11"/>
  <c r="Q11" i="11"/>
  <c r="Q10" i="11"/>
  <c r="I12" i="11"/>
  <c r="Q9" i="11"/>
  <c r="Q12" i="11"/>
  <c r="I11" i="11"/>
  <c r="I8" i="11"/>
  <c r="I4" i="11"/>
  <c r="I7" i="11"/>
  <c r="Q20" i="11"/>
  <c r="Q16" i="11"/>
  <c r="Q18" i="11"/>
  <c r="I6" i="11"/>
  <c r="Q14" i="11"/>
  <c r="Q13" i="11"/>
  <c r="I10" i="11"/>
  <c r="I3" i="11"/>
  <c r="Q15" i="11"/>
  <c r="I20" i="11"/>
  <c r="I14" i="11"/>
  <c r="Q6" i="11"/>
  <c r="Q19" i="11"/>
  <c r="I15" i="11"/>
  <c r="Q7" i="11"/>
  <c r="Q3" i="11"/>
  <c r="I17" i="11"/>
  <c r="I16" i="11"/>
  <c r="I21" i="11"/>
</calcChain>
</file>

<file path=xl/comments1.xml><?xml version="1.0" encoding="utf-8"?>
<comments xmlns="http://schemas.openxmlformats.org/spreadsheetml/2006/main">
  <authors>
    <author>La Red de Políticas Públicas</author>
  </authors>
  <commentList>
    <comment ref="M25" authorId="0" shapeId="0">
      <text>
        <r>
          <rPr>
            <b/>
            <sz val="9"/>
            <color indexed="81"/>
            <rFont val="Tahoma"/>
            <family val="2"/>
          </rPr>
          <t>La Red de Políticas Públicas:</t>
        </r>
        <r>
          <rPr>
            <sz val="9"/>
            <color indexed="81"/>
            <rFont val="Tahoma"/>
            <family val="2"/>
          </rPr>
          <t xml:space="preserve">
El </t>
        </r>
        <r>
          <rPr>
            <b/>
            <sz val="9"/>
            <color indexed="81"/>
            <rFont val="Tahoma"/>
            <family val="2"/>
          </rPr>
          <t xml:space="preserve">promedio común u ordinario </t>
        </r>
        <r>
          <rPr>
            <sz val="9"/>
            <color indexed="81"/>
            <rFont val="Tahoma"/>
            <family val="2"/>
          </rPr>
          <t>surge de hacer:
(celda K23 + celda O23 + celda S23 + celda W23)/4. Este cálculo asume que cada valor contribuye con la misma fuerza o peso al promedio, es decir, cada uno contribuye con un 25% (si fuesen 5 valores diferentes en vez de 4, la contribución de cada valor sería del 20%)
Es lo mismo que:
celda K23 x 0,25 + celda O23 x 0,25 + celda S23 x 0,25 + celda W23 x 0,25</t>
        </r>
      </text>
    </comment>
    <comment ref="M26" authorId="0" shapeId="0">
      <text>
        <r>
          <rPr>
            <b/>
            <sz val="9"/>
            <color indexed="81"/>
            <rFont val="Tahoma"/>
            <family val="2"/>
          </rPr>
          <t>La Red de Políticas Públicas:</t>
        </r>
        <r>
          <rPr>
            <sz val="9"/>
            <color indexed="81"/>
            <rFont val="Tahoma"/>
            <family val="2"/>
          </rPr>
          <t xml:space="preserve">
El </t>
        </r>
        <r>
          <rPr>
            <b/>
            <sz val="9"/>
            <color indexed="81"/>
            <rFont val="Tahoma"/>
            <family val="2"/>
          </rPr>
          <t>promedio ponderado</t>
        </r>
        <r>
          <rPr>
            <sz val="9"/>
            <color indexed="81"/>
            <rFont val="Tahoma"/>
            <family val="2"/>
          </rPr>
          <t xml:space="preserve"> surge de tener en cuenta que, durante los primeros meses de implementación del programa, los costos correspondientes a las categorías Felino adulto y Canino 10 kg son mucho más frecuentes (entre ambas representan el 80% de los casos y cada una de ellas, el 40% de los casos) que las categorías Temprana (cachorros) y Canino 20 kg. Por lo cual, el promedio ponderado resulta de:
celda K23 x 0,10 + celda O23 x 0,40 + celda S23 x 0,40 + celda W23 x 0,10
En este caso, dado que las categorías más frecuentes son las del medio, es decir, las más cercanas al promedio ordinario, éste y el ponderado no son tan diferentes. Pero si consideramos que una vez que se estabiliza el programa, la frecuencia de las castraciones tempranas aumenta a expensas de una reducción de las categorías de caninos de 10 y 20 kg, esos promedios se van a separar más, es decir, el costo promedio de las castraciones sería aun más bajo porque aumentaría la frecuencia de la categoría cuyo costo de castración es más económico.</t>
        </r>
      </text>
    </comment>
  </commentList>
</comments>
</file>

<file path=xl/sharedStrings.xml><?xml version="1.0" encoding="utf-8"?>
<sst xmlns="http://schemas.openxmlformats.org/spreadsheetml/2006/main" count="132" uniqueCount="85">
  <si>
    <t>Ketamina</t>
  </si>
  <si>
    <t>Tramadol 5%</t>
  </si>
  <si>
    <t>Aguja 25/8</t>
  </si>
  <si>
    <t>mL</t>
  </si>
  <si>
    <t>unid</t>
  </si>
  <si>
    <t>Presentación</t>
  </si>
  <si>
    <t>Butterfly nro. 23</t>
  </si>
  <si>
    <t>Acepromacina</t>
  </si>
  <si>
    <t>HOLLIDAY-ACEDAN INY(X 50 ML)</t>
  </si>
  <si>
    <t>HOLLIDAY-KETAMINA 50 INY(X 50 ML)</t>
  </si>
  <si>
    <t>JOHN MARTIN-TRAMADOL INY(X 50 ML)</t>
  </si>
  <si>
    <t>JERINGA DESC NEOJET S/AGUJAS X 3 CC</t>
  </si>
  <si>
    <t>AGUJAS DESC PLASTICA 25 X 8 C/ VERDE(X 100 UNIDADES)</t>
  </si>
  <si>
    <t>BUTTERFLY 23 G(UNIDAD)</t>
  </si>
  <si>
    <t>Guantes descartables</t>
  </si>
  <si>
    <t>Bisturí</t>
  </si>
  <si>
    <t>Campos de friselina</t>
  </si>
  <si>
    <t>Hilo de ligadura (lino)</t>
  </si>
  <si>
    <t>Hilo de sutura (tanza)</t>
  </si>
  <si>
    <t>Tela adhesiva</t>
  </si>
  <si>
    <t>Algodón</t>
  </si>
  <si>
    <t>ALGODON HIDROFILO(X 500 GRS)</t>
  </si>
  <si>
    <t>Gasa</t>
  </si>
  <si>
    <t>Iodopovidona</t>
  </si>
  <si>
    <t>Agua Oxigenada</t>
  </si>
  <si>
    <t>BROUWER-KIL AG(X 440 ML)</t>
  </si>
  <si>
    <t>grs</t>
  </si>
  <si>
    <t>lt</t>
  </si>
  <si>
    <t>TEMPRANA caninos</t>
  </si>
  <si>
    <t>FELINO adulto</t>
  </si>
  <si>
    <t>CANINO 10 kg</t>
  </si>
  <si>
    <t>CANINO 20 kg</t>
  </si>
  <si>
    <t>CANTIDAD</t>
  </si>
  <si>
    <t>COSTO</t>
  </si>
  <si>
    <t>TOTAL</t>
  </si>
  <si>
    <t>kg</t>
  </si>
  <si>
    <t>1 hoja/10 anim</t>
  </si>
  <si>
    <t>1  kg c /300 anim</t>
  </si>
  <si>
    <t>1 lts c/100 anim</t>
  </si>
  <si>
    <t>3 c /100 anim</t>
  </si>
  <si>
    <t>Cantidad</t>
  </si>
  <si>
    <t>Unidad</t>
  </si>
  <si>
    <t>m</t>
  </si>
  <si>
    <t>HILO DE LINO N 20-170mt GRUSCHWITZ</t>
  </si>
  <si>
    <t>WEIZUR-POVIZUR(X 5 LT)</t>
  </si>
  <si>
    <t>AGUA OXIGENADA(X 5L)</t>
  </si>
  <si>
    <t>Promedio</t>
  </si>
  <si>
    <t>Composición</t>
  </si>
  <si>
    <t>5g/100mL</t>
  </si>
  <si>
    <t>0,5% (5mg/mL)</t>
  </si>
  <si>
    <t>1g/100mL</t>
  </si>
  <si>
    <t>5% (50mg/mL)</t>
  </si>
  <si>
    <t>Precio,$ (sin IVA)</t>
  </si>
  <si>
    <t>Precio, $/unidad (sin IVA)</t>
  </si>
  <si>
    <t>Promedio ponderado</t>
  </si>
  <si>
    <t>Insumos necesarios según protocolo de La Red en Ate. Brown</t>
  </si>
  <si>
    <t>Penicilina (depósito)</t>
  </si>
  <si>
    <t>Diazepam</t>
  </si>
  <si>
    <t>LAMAR SRL-DIAZEPAM INY(X 2 FCOS X 10 ML)</t>
  </si>
  <si>
    <t>Curabichera aerosol</t>
  </si>
  <si>
    <t>Caja-guantes de látex</t>
  </si>
  <si>
    <t>Tanza de pesca 0,40 mm marca Nitanyl</t>
  </si>
  <si>
    <t>5cmX9Metros-CajaX6 Rollos.Corte a lo largo 2,5cm ancho</t>
  </si>
  <si>
    <t>Trozada 10x10cm</t>
  </si>
  <si>
    <t>Jeringa 3 mL *</t>
  </si>
  <si>
    <r>
      <rPr>
        <sz val="12"/>
        <color theme="1"/>
        <rFont val="Symbol"/>
        <family val="1"/>
        <charset val="2"/>
      </rPr>
      <t>®</t>
    </r>
    <r>
      <rPr>
        <sz val="12"/>
        <color theme="1"/>
        <rFont val="Calibri"/>
        <family val="2"/>
        <scheme val="minor"/>
      </rPr>
      <t>Los precios reportados corresponden a compras unitarias, minoristas. Éstos se pueden mejorar comprando en cantidad, aprovechando promociones, realizando</t>
    </r>
  </si>
  <si>
    <t>compras hospitalarias (importantes reducciones en descartables) y/o comprando drogas en presentaciones destinadas a grandes animales.</t>
  </si>
  <si>
    <t>Costo del ítem/Costo Total, %</t>
  </si>
  <si>
    <t>Costo del Rubro/Costo Total, %</t>
  </si>
  <si>
    <t>Costo del ítem/Costo del Rubro, %</t>
  </si>
  <si>
    <r>
      <t>OVER-</t>
    </r>
    <r>
      <rPr>
        <sz val="11"/>
        <color theme="1"/>
        <rFont val="Calibri"/>
        <family val="2"/>
        <scheme val="minor"/>
      </rPr>
      <t>PENICILINA ESTREPTOMICINA 5.000.000 UI(X6FRX25 mL)</t>
    </r>
  </si>
  <si>
    <t>ya que de comprar en cantidad, los envíos son gratuitos. Otros precios fueron obtenidos por cotización de distribuidora local, directamente sin IVA.</t>
  </si>
  <si>
    <t>RUBRO</t>
  </si>
  <si>
    <t>Drogas</t>
  </si>
  <si>
    <t>Descartables</t>
  </si>
  <si>
    <t>Telas y cintas</t>
  </si>
  <si>
    <t>Desinfec-tantes</t>
  </si>
  <si>
    <t>Varios</t>
  </si>
  <si>
    <t>ITEM</t>
  </si>
  <si>
    <t>SWANN MORTON Nro 24. CajaX100</t>
  </si>
  <si>
    <r>
      <t xml:space="preserve">Rollo friselina 45g 150mx1,50m. </t>
    </r>
    <r>
      <rPr>
        <sz val="10"/>
        <color theme="1"/>
        <rFont val="Calibri"/>
        <family val="2"/>
        <scheme val="minor"/>
      </rPr>
      <t>Rinde 642 campos de 50x70cm</t>
    </r>
  </si>
  <si>
    <t>$/animal + IVA</t>
  </si>
  <si>
    <t>*Se puede reutilizar 3 veces, es decir, 1 uso inicial y 3 reutilizaciones. Dado que se requieren 4 jeringas por animal, el prorrateo resulta en 1 jeringa por animal.</t>
  </si>
  <si>
    <t>Varios (formalina, cloruro de benzalconio, barbijos, camisolines, cofias)</t>
  </si>
  <si>
    <r>
      <rPr>
        <sz val="12"/>
        <color theme="1"/>
        <rFont val="Symbol"/>
        <family val="1"/>
        <charset val="2"/>
      </rPr>
      <t>®</t>
    </r>
    <r>
      <rPr>
        <sz val="12"/>
        <color theme="1"/>
        <rFont val="Calibri"/>
        <family val="2"/>
        <scheme val="minor"/>
      </rPr>
      <t xml:space="preserve">Los precios de algunos insumos fueron extraídos de Mercado Libre o de distribuidoras online, dividiendo el precio informado por 1,21 (IVA). No se incluyen costos de envío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</si>
</sst>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Symbol"/>
      <family val="1"/>
      <charset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6" borderId="2" xfId="0" applyFont="1" applyFill="1" applyBorder="1" applyProtection="1">
      <protection locked="0"/>
    </xf>
    <xf numFmtId="0" fontId="2" fillId="6" borderId="2" xfId="0" applyFont="1" applyFill="1" applyBorder="1" applyAlignment="1" applyProtection="1">
      <alignment horizontal="center"/>
      <protection locked="0"/>
    </xf>
    <xf numFmtId="164" fontId="2" fillId="6" borderId="2" xfId="0" applyNumberFormat="1" applyFont="1" applyFill="1" applyBorder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wrapText="1"/>
    </xf>
    <xf numFmtId="0" fontId="2" fillId="0" borderId="2" xfId="0" applyFont="1" applyFill="1" applyBorder="1" applyProtection="1"/>
    <xf numFmtId="0" fontId="2" fillId="0" borderId="2" xfId="0" applyFont="1" applyBorder="1" applyProtection="1"/>
    <xf numFmtId="0" fontId="1" fillId="3" borderId="3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 wrapText="1"/>
    </xf>
    <xf numFmtId="164" fontId="2" fillId="0" borderId="2" xfId="0" applyNumberFormat="1" applyFont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2" fillId="4" borderId="0" xfId="0" applyFont="1" applyFill="1" applyAlignment="1">
      <alignment vertical="center"/>
    </xf>
    <xf numFmtId="164" fontId="4" fillId="4" borderId="2" xfId="0" applyNumberFormat="1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2" fillId="5" borderId="0" xfId="0" applyFont="1" applyFill="1" applyAlignment="1">
      <alignment vertical="center"/>
    </xf>
    <xf numFmtId="164" fontId="4" fillId="5" borderId="2" xfId="0" applyNumberFormat="1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2" fillId="6" borderId="0" xfId="0" applyFont="1" applyFill="1" applyAlignment="1">
      <alignment vertical="center"/>
    </xf>
    <xf numFmtId="164" fontId="4" fillId="6" borderId="2" xfId="0" applyNumberFormat="1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2" fillId="7" borderId="0" xfId="0" applyFont="1" applyFill="1" applyAlignment="1">
      <alignment vertical="center"/>
    </xf>
    <xf numFmtId="164" fontId="4" fillId="7" borderId="2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1" fontId="4" fillId="2" borderId="6" xfId="0" applyNumberFormat="1" applyFont="1" applyFill="1" applyBorder="1" applyAlignment="1">
      <alignment horizontal="center" vertical="center"/>
    </xf>
    <xf numFmtId="1" fontId="2" fillId="8" borderId="6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9" borderId="2" xfId="0" applyFont="1" applyFill="1" applyBorder="1" applyAlignment="1">
      <alignment vertical="center"/>
    </xf>
    <xf numFmtId="164" fontId="2" fillId="9" borderId="2" xfId="0" applyNumberFormat="1" applyFont="1" applyFill="1" applyBorder="1" applyAlignment="1">
      <alignment horizontal="center" vertical="center"/>
    </xf>
    <xf numFmtId="0" fontId="2" fillId="9" borderId="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4" fillId="0" borderId="9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 textRotation="90"/>
    </xf>
    <xf numFmtId="0" fontId="9" fillId="0" borderId="0" xfId="0" applyFont="1" applyAlignment="1">
      <alignment horizontal="center" vertical="center"/>
    </xf>
    <xf numFmtId="0" fontId="4" fillId="2" borderId="6" xfId="0" applyFont="1" applyFill="1" applyBorder="1"/>
    <xf numFmtId="0" fontId="2" fillId="2" borderId="7" xfId="0" applyFont="1" applyFill="1" applyBorder="1"/>
    <xf numFmtId="0" fontId="4" fillId="8" borderId="6" xfId="0" applyFont="1" applyFill="1" applyBorder="1"/>
    <xf numFmtId="0" fontId="2" fillId="8" borderId="7" xfId="0" applyFont="1" applyFill="1" applyBorder="1"/>
    <xf numFmtId="0" fontId="4" fillId="7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right" vertical="center"/>
    </xf>
    <xf numFmtId="0" fontId="4" fillId="8" borderId="5" xfId="0" applyFont="1" applyFill="1" applyBorder="1" applyAlignment="1">
      <alignment horizontal="right" vertical="center"/>
    </xf>
    <xf numFmtId="0" fontId="4" fillId="8" borderId="6" xfId="0" applyFont="1" applyFill="1" applyBorder="1" applyAlignment="1">
      <alignment horizontal="right" vertical="center"/>
    </xf>
    <xf numFmtId="0" fontId="4" fillId="5" borderId="0" xfId="0" applyFont="1" applyFill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9" fillId="0" borderId="11" xfId="0" applyFont="1" applyBorder="1" applyAlignment="1">
      <alignment horizontal="center" vertical="center" textRotation="90"/>
    </xf>
    <xf numFmtId="0" fontId="9" fillId="0" borderId="11" xfId="0" applyFont="1" applyBorder="1" applyAlignment="1">
      <alignment horizontal="center" vertical="center" textRotation="90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164" fontId="2" fillId="9" borderId="4" xfId="0" applyNumberFormat="1" applyFont="1" applyFill="1" applyBorder="1" applyAlignment="1">
      <alignment horizontal="center" vertical="center"/>
    </xf>
    <xf numFmtId="164" fontId="2" fillId="9" borderId="8" xfId="0" applyNumberFormat="1" applyFont="1" applyFill="1" applyBorder="1" applyAlignment="1">
      <alignment horizontal="center" vertical="center"/>
    </xf>
    <xf numFmtId="164" fontId="2" fillId="9" borderId="9" xfId="0" applyNumberFormat="1" applyFont="1" applyFill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0" fontId="3" fillId="0" borderId="0" xfId="0" applyFont="1" applyFill="1" applyBorder="1" applyAlignment="1" applyProtection="1">
      <alignment vertical="center" wrapText="1"/>
    </xf>
    <xf numFmtId="0" fontId="2" fillId="0" borderId="0" xfId="0" applyFont="1" applyProtection="1"/>
  </cellXfs>
  <cellStyles count="1">
    <cellStyle name="Normal" xfId="0" builtinId="0"/>
  </cellStyles>
  <dxfs count="40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99FF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99FF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99FF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99FF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CC"/>
      <color rgb="FFFFFF99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17318</xdr:colOff>
      <xdr:row>0</xdr:row>
      <xdr:rowOff>25977</xdr:rowOff>
    </xdr:from>
    <xdr:to>
      <xdr:col>0</xdr:col>
      <xdr:colOff>724328</xdr:colOff>
      <xdr:row>1</xdr:row>
      <xdr:rowOff>135509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5556" r="14443" b="15555"/>
        <a:stretch/>
      </xdr:blipFill>
      <xdr:spPr>
        <a:xfrm>
          <a:off x="17318" y="25977"/>
          <a:ext cx="707010" cy="7070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559715</xdr:colOff>
      <xdr:row>1</xdr:row>
      <xdr:rowOff>9822</xdr:rowOff>
    </xdr:from>
    <xdr:to>
      <xdr:col>7</xdr:col>
      <xdr:colOff>1423840</xdr:colOff>
      <xdr:row>1</xdr:row>
      <xdr:rowOff>873946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5556" r="14443" b="15555"/>
        <a:stretch/>
      </xdr:blipFill>
      <xdr:spPr>
        <a:xfrm>
          <a:off x="559715" y="255312"/>
          <a:ext cx="864125" cy="8641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202407</xdr:colOff>
      <xdr:row>3</xdr:row>
      <xdr:rowOff>62440</xdr:rowOff>
    </xdr:from>
    <xdr:to>
      <xdr:col>22</xdr:col>
      <xdr:colOff>119062</xdr:colOff>
      <xdr:row>21</xdr:row>
      <xdr:rowOff>706437</xdr:rowOff>
    </xdr:to>
    <xdr:sp macro="" textlink="">
      <xdr:nvSpPr>
        <xdr:cNvPr id="5" name="CuadroTexto 4"/>
        <xdr:cNvSpPr txBox="1"/>
      </xdr:nvSpPr>
      <xdr:spPr>
        <a:xfrm>
          <a:off x="10066074" y="1395940"/>
          <a:ext cx="3726655" cy="4263497"/>
        </a:xfrm>
        <a:prstGeom prst="rect">
          <a:avLst/>
        </a:prstGeom>
        <a:solidFill>
          <a:srgbClr val="FFFFCC"/>
        </a:solidFill>
        <a:ln>
          <a:solidFill>
            <a:schemeClr val="tx1"/>
          </a:solidFill>
        </a:ln>
      </xdr:spPr>
      <xdr:txBody>
        <a:bodyPr wrap="square" rtlCol="0">
          <a:noAutofit/>
        </a:bodyPr>
        <a:lstStyle>
          <a:defPPr>
            <a:defRPr lang="es-A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AR" sz="1600" b="1"/>
            <a:t>Algunas observaciones</a:t>
          </a:r>
          <a:r>
            <a:rPr lang="es-AR" sz="1600"/>
            <a:t>:</a:t>
          </a:r>
        </a:p>
        <a:p>
          <a:pPr marL="285750" indent="-285750">
            <a:buFont typeface="Arial" panose="020B0604020202020204" pitchFamily="34" charset="0"/>
            <a:buChar char="•"/>
          </a:pPr>
          <a:r>
            <a:rPr lang="es-AR" sz="1600"/>
            <a:t>El butterfly y/o guantes son el costo más importante en la castración de un cachorro; la ketamina, en el resto de las categorías (celdas</a:t>
          </a:r>
          <a:r>
            <a:rPr lang="es-AR" sz="1600" baseline="0"/>
            <a:t> amarillas)</a:t>
          </a:r>
          <a:endParaRPr lang="es-AR" sz="1600"/>
        </a:p>
        <a:p>
          <a:pPr marL="285750" indent="-285750">
            <a:buFont typeface="Arial" panose="020B0604020202020204" pitchFamily="34" charset="0"/>
            <a:buChar char="•"/>
          </a:pPr>
          <a:r>
            <a:rPr lang="es-AR" sz="1600"/>
            <a:t>El costo del rubro “Descartables”, al ser un costo que no es proporcional al peso del animal, es el de mayor incidencia en la castración de animales de poco peso (cachorros y felinos), mientras que, al aumentar el peso del animal (caninos de 10 y 20 kg), dicho costo se diluye, pasando a ser el costo del rubro “Drogas” (que sí depende del peso del animal) el de mayor incidencia (celdas rosas)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371476</xdr:colOff>
      <xdr:row>0</xdr:row>
      <xdr:rowOff>76201</xdr:rowOff>
    </xdr:from>
    <xdr:to>
      <xdr:col>14</xdr:col>
      <xdr:colOff>200026</xdr:colOff>
      <xdr:row>25</xdr:row>
      <xdr:rowOff>142875</xdr:rowOff>
    </xdr:to>
    <xdr:sp macro="" textlink="">
      <xdr:nvSpPr>
        <xdr:cNvPr id="2" name="CuadroTexto 1"/>
        <xdr:cNvSpPr txBox="1"/>
      </xdr:nvSpPr>
      <xdr:spPr>
        <a:xfrm>
          <a:off x="1895476" y="76201"/>
          <a:ext cx="8972550" cy="4829174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AR" sz="4000" b="1">
              <a:solidFill>
                <a:schemeClr val="accent4">
                  <a:lumMod val="60000"/>
                  <a:lumOff val="40000"/>
                </a:schemeClr>
              </a:solidFill>
            </a:rPr>
            <a:t>Lo que acabamos de detallar es el</a:t>
          </a:r>
          <a:r>
            <a:rPr lang="es-AR" sz="4000" b="1" baseline="0">
              <a:solidFill>
                <a:schemeClr val="accent4">
                  <a:lumMod val="60000"/>
                  <a:lumOff val="40000"/>
                </a:schemeClr>
              </a:solidFill>
            </a:rPr>
            <a:t> protocolo de cirugía que utiliza La Red en la localidad de Almirante Brown y el objetivo es disponer de una estimación orientativa de costos. Este Excel puede adaptarse fácilmente a otros protocolos utilizados en diferentes localidades.</a:t>
          </a:r>
          <a:endParaRPr lang="es-AR" sz="4000" b="1">
            <a:solidFill>
              <a:schemeClr val="accent4">
                <a:lumMod val="60000"/>
                <a:lumOff val="40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zoomScaleNormal="100" workbookViewId="0">
      <selection activeCell="G6" sqref="G6"/>
    </sheetView>
  </sheetViews>
  <sheetFormatPr baseColWidth="10" defaultRowHeight="15.75" x14ac:dyDescent="0.25"/>
  <cols>
    <col min="1" max="1" width="11.28515625" style="11" customWidth="1"/>
    <col min="2" max="2" width="25.85546875" style="11" customWidth="1"/>
    <col min="3" max="3" width="56.5703125" style="11" customWidth="1"/>
    <col min="4" max="4" width="17" style="11" customWidth="1"/>
    <col min="5" max="5" width="11.28515625" style="11" customWidth="1"/>
    <col min="6" max="6" width="13.28515625" style="12" customWidth="1"/>
    <col min="7" max="7" width="18.28515625" style="11" customWidth="1"/>
    <col min="8" max="8" width="20.7109375" style="11" customWidth="1"/>
    <col min="9" max="10" width="11.42578125" style="11"/>
    <col min="11" max="11" width="25.7109375" style="11" bestFit="1" customWidth="1"/>
    <col min="12" max="16384" width="11.42578125" style="11"/>
  </cols>
  <sheetData>
    <row r="1" spans="2:14" ht="47.25" x14ac:dyDescent="0.25">
      <c r="B1" s="4" t="s">
        <v>55</v>
      </c>
      <c r="C1" s="7" t="s">
        <v>5</v>
      </c>
      <c r="D1" s="7" t="s">
        <v>47</v>
      </c>
      <c r="E1" s="7" t="s">
        <v>40</v>
      </c>
      <c r="F1" s="7" t="s">
        <v>41</v>
      </c>
      <c r="G1" s="7" t="s">
        <v>52</v>
      </c>
      <c r="H1" s="8" t="s">
        <v>53</v>
      </c>
      <c r="J1" s="97"/>
      <c r="K1" s="97"/>
      <c r="L1" s="98"/>
      <c r="M1" s="97"/>
      <c r="N1" s="99"/>
    </row>
    <row r="2" spans="2:14" x14ac:dyDescent="0.25">
      <c r="B2" s="5" t="s">
        <v>0</v>
      </c>
      <c r="C2" s="1" t="s">
        <v>9</v>
      </c>
      <c r="D2" s="5" t="s">
        <v>48</v>
      </c>
      <c r="E2" s="2">
        <v>50</v>
      </c>
      <c r="F2" s="10" t="s">
        <v>3</v>
      </c>
      <c r="G2" s="3">
        <v>1342.35</v>
      </c>
      <c r="H2" s="9">
        <f t="shared" ref="H2:H11" si="0">(G2/E2)</f>
        <v>26.846999999999998</v>
      </c>
      <c r="J2" s="97"/>
      <c r="K2" s="97"/>
      <c r="L2" s="98"/>
      <c r="M2" s="99"/>
      <c r="N2" s="99"/>
    </row>
    <row r="3" spans="2:14" x14ac:dyDescent="0.25">
      <c r="B3" s="5" t="s">
        <v>57</v>
      </c>
      <c r="C3" s="1" t="s">
        <v>58</v>
      </c>
      <c r="D3" s="5" t="s">
        <v>49</v>
      </c>
      <c r="E3" s="2">
        <v>10</v>
      </c>
      <c r="F3" s="10" t="s">
        <v>3</v>
      </c>
      <c r="G3" s="3">
        <f>818.18/2</f>
        <v>409.09</v>
      </c>
      <c r="H3" s="9">
        <f t="shared" si="0"/>
        <v>40.908999999999999</v>
      </c>
      <c r="J3" s="97"/>
      <c r="K3" s="97"/>
      <c r="L3" s="98"/>
      <c r="M3" s="97"/>
      <c r="N3" s="99"/>
    </row>
    <row r="4" spans="2:14" x14ac:dyDescent="0.25">
      <c r="B4" s="5" t="s">
        <v>7</v>
      </c>
      <c r="C4" s="1" t="s">
        <v>8</v>
      </c>
      <c r="D4" s="5" t="s">
        <v>50</v>
      </c>
      <c r="E4" s="2">
        <v>50</v>
      </c>
      <c r="F4" s="10" t="s">
        <v>3</v>
      </c>
      <c r="G4" s="3">
        <v>1115.0899999999999</v>
      </c>
      <c r="H4" s="9">
        <f t="shared" si="0"/>
        <v>22.3018</v>
      </c>
      <c r="J4" s="97"/>
      <c r="K4" s="97"/>
      <c r="L4" s="98"/>
      <c r="M4" s="100"/>
      <c r="N4" s="100"/>
    </row>
    <row r="5" spans="2:14" x14ac:dyDescent="0.25">
      <c r="B5" s="5" t="s">
        <v>1</v>
      </c>
      <c r="C5" s="1" t="s">
        <v>10</v>
      </c>
      <c r="D5" s="5" t="s">
        <v>51</v>
      </c>
      <c r="E5" s="2">
        <v>50</v>
      </c>
      <c r="F5" s="10" t="s">
        <v>3</v>
      </c>
      <c r="G5" s="3">
        <v>1414.31</v>
      </c>
      <c r="H5" s="9">
        <f t="shared" si="0"/>
        <v>28.286199999999997</v>
      </c>
      <c r="J5" s="97"/>
      <c r="K5" s="97"/>
      <c r="L5" s="98"/>
      <c r="M5" s="100"/>
      <c r="N5" s="100"/>
    </row>
    <row r="6" spans="2:14" x14ac:dyDescent="0.25">
      <c r="B6" s="5" t="s">
        <v>56</v>
      </c>
      <c r="C6" s="1" t="s">
        <v>70</v>
      </c>
      <c r="D6" s="5"/>
      <c r="E6" s="2">
        <v>150</v>
      </c>
      <c r="F6" s="10" t="s">
        <v>3</v>
      </c>
      <c r="G6" s="3">
        <v>3098.7</v>
      </c>
      <c r="H6" s="9">
        <f t="shared" si="0"/>
        <v>20.657999999999998</v>
      </c>
      <c r="J6" s="97"/>
      <c r="K6" s="97"/>
      <c r="L6" s="98"/>
      <c r="M6" s="100"/>
      <c r="N6" s="100"/>
    </row>
    <row r="7" spans="2:14" ht="18" x14ac:dyDescent="0.25">
      <c r="B7" s="5" t="s">
        <v>64</v>
      </c>
      <c r="C7" s="1" t="s">
        <v>11</v>
      </c>
      <c r="D7" s="5"/>
      <c r="E7" s="2">
        <v>1</v>
      </c>
      <c r="F7" s="10" t="s">
        <v>4</v>
      </c>
      <c r="G7" s="3">
        <v>8.5540000000000003</v>
      </c>
      <c r="H7" s="9">
        <f t="shared" si="0"/>
        <v>8.5540000000000003</v>
      </c>
      <c r="J7" s="97"/>
      <c r="K7" s="97"/>
      <c r="L7" s="98"/>
      <c r="M7" s="97"/>
      <c r="N7" s="97"/>
    </row>
    <row r="8" spans="2:14" x14ac:dyDescent="0.25">
      <c r="B8" s="5" t="s">
        <v>2</v>
      </c>
      <c r="C8" s="1" t="s">
        <v>12</v>
      </c>
      <c r="D8" s="5"/>
      <c r="E8" s="2">
        <v>100</v>
      </c>
      <c r="F8" s="10" t="s">
        <v>4</v>
      </c>
      <c r="G8" s="3">
        <v>375</v>
      </c>
      <c r="H8" s="9">
        <f t="shared" si="0"/>
        <v>3.75</v>
      </c>
      <c r="J8" s="97"/>
      <c r="K8" s="97"/>
      <c r="L8" s="98"/>
      <c r="M8" s="97"/>
      <c r="N8" s="97"/>
    </row>
    <row r="9" spans="2:14" x14ac:dyDescent="0.25">
      <c r="B9" s="5" t="s">
        <v>6</v>
      </c>
      <c r="C9" s="1" t="s">
        <v>13</v>
      </c>
      <c r="D9" s="5"/>
      <c r="E9" s="2">
        <v>1</v>
      </c>
      <c r="F9" s="10" t="s">
        <v>4</v>
      </c>
      <c r="G9" s="3">
        <v>19.62</v>
      </c>
      <c r="H9" s="9">
        <f t="shared" si="0"/>
        <v>19.62</v>
      </c>
      <c r="J9" s="97"/>
      <c r="K9" s="97"/>
      <c r="L9" s="98"/>
      <c r="M9" s="97"/>
      <c r="N9" s="97"/>
    </row>
    <row r="10" spans="2:14" x14ac:dyDescent="0.25">
      <c r="B10" s="5" t="s">
        <v>14</v>
      </c>
      <c r="C10" s="1" t="s">
        <v>60</v>
      </c>
      <c r="D10" s="5"/>
      <c r="E10" s="2">
        <v>100</v>
      </c>
      <c r="F10" s="10" t="s">
        <v>4</v>
      </c>
      <c r="G10" s="3">
        <v>700</v>
      </c>
      <c r="H10" s="9">
        <f t="shared" si="0"/>
        <v>7</v>
      </c>
      <c r="J10" s="97"/>
      <c r="K10" s="97"/>
      <c r="L10" s="98"/>
      <c r="M10" s="97"/>
      <c r="N10" s="97"/>
    </row>
    <row r="11" spans="2:14" x14ac:dyDescent="0.25">
      <c r="B11" s="5" t="s">
        <v>15</v>
      </c>
      <c r="C11" s="1" t="s">
        <v>79</v>
      </c>
      <c r="D11" s="5"/>
      <c r="E11" s="2">
        <v>100</v>
      </c>
      <c r="F11" s="10" t="s">
        <v>4</v>
      </c>
      <c r="G11" s="3">
        <f>9358.49/1.21</f>
        <v>7734.2892561983472</v>
      </c>
      <c r="H11" s="9">
        <f t="shared" si="0"/>
        <v>77.342892561983476</v>
      </c>
    </row>
    <row r="12" spans="2:14" x14ac:dyDescent="0.25">
      <c r="B12" s="5" t="s">
        <v>16</v>
      </c>
      <c r="C12" s="1" t="s">
        <v>80</v>
      </c>
      <c r="D12" s="5"/>
      <c r="E12" s="2">
        <v>642</v>
      </c>
      <c r="F12" s="10" t="s">
        <v>4</v>
      </c>
      <c r="G12" s="3">
        <f>11745/1.21</f>
        <v>9706.6115702479347</v>
      </c>
      <c r="H12" s="9">
        <f t="shared" ref="H12:H20" si="1">(G12/E12)</f>
        <v>15.119332663937593</v>
      </c>
    </row>
    <row r="13" spans="2:14" x14ac:dyDescent="0.25">
      <c r="B13" s="5" t="s">
        <v>17</v>
      </c>
      <c r="C13" s="1" t="s">
        <v>43</v>
      </c>
      <c r="D13" s="5"/>
      <c r="E13" s="2">
        <v>170</v>
      </c>
      <c r="F13" s="10" t="s">
        <v>42</v>
      </c>
      <c r="G13" s="3">
        <f>3249/1.21</f>
        <v>2685.1239669421489</v>
      </c>
      <c r="H13" s="9">
        <f t="shared" si="1"/>
        <v>15.794846864365581</v>
      </c>
      <c r="I13" s="101"/>
    </row>
    <row r="14" spans="2:14" x14ac:dyDescent="0.25">
      <c r="B14" s="5" t="s">
        <v>18</v>
      </c>
      <c r="C14" s="1" t="s">
        <v>61</v>
      </c>
      <c r="D14" s="5"/>
      <c r="E14" s="2">
        <v>6484</v>
      </c>
      <c r="F14" s="10" t="s">
        <v>42</v>
      </c>
      <c r="G14" s="3">
        <f>4725/1.21</f>
        <v>3904.9586776859505</v>
      </c>
      <c r="H14" s="9">
        <f t="shared" si="1"/>
        <v>0.60224532351726567</v>
      </c>
    </row>
    <row r="15" spans="2:14" x14ac:dyDescent="0.25">
      <c r="B15" s="6" t="s">
        <v>19</v>
      </c>
      <c r="C15" s="1" t="s">
        <v>62</v>
      </c>
      <c r="D15" s="5"/>
      <c r="E15" s="2">
        <v>108</v>
      </c>
      <c r="F15" s="10" t="s">
        <v>42</v>
      </c>
      <c r="G15" s="3">
        <f>1190/1.21</f>
        <v>983.47107438016531</v>
      </c>
      <c r="H15" s="9">
        <f t="shared" si="1"/>
        <v>9.1062136516681971</v>
      </c>
    </row>
    <row r="16" spans="2:14" x14ac:dyDescent="0.25">
      <c r="B16" s="6" t="s">
        <v>20</v>
      </c>
      <c r="C16" s="1" t="s">
        <v>21</v>
      </c>
      <c r="D16" s="5"/>
      <c r="E16" s="2">
        <v>500</v>
      </c>
      <c r="F16" s="10" t="s">
        <v>26</v>
      </c>
      <c r="G16" s="3">
        <f>450/1.21</f>
        <v>371.90082644628103</v>
      </c>
      <c r="H16" s="9">
        <f t="shared" si="1"/>
        <v>0.74380165289256206</v>
      </c>
    </row>
    <row r="17" spans="1:8" x14ac:dyDescent="0.25">
      <c r="B17" s="6" t="s">
        <v>22</v>
      </c>
      <c r="C17" s="1" t="s">
        <v>63</v>
      </c>
      <c r="D17" s="5"/>
      <c r="E17" s="2">
        <v>1</v>
      </c>
      <c r="F17" s="10" t="s">
        <v>35</v>
      </c>
      <c r="G17" s="3">
        <f>2300/1.21</f>
        <v>1900.8264462809918</v>
      </c>
      <c r="H17" s="9">
        <f t="shared" si="1"/>
        <v>1900.8264462809918</v>
      </c>
    </row>
    <row r="18" spans="1:8" x14ac:dyDescent="0.25">
      <c r="B18" s="6" t="s">
        <v>23</v>
      </c>
      <c r="C18" s="1" t="s">
        <v>44</v>
      </c>
      <c r="D18" s="5"/>
      <c r="E18" s="2">
        <v>5</v>
      </c>
      <c r="F18" s="10" t="s">
        <v>27</v>
      </c>
      <c r="G18" s="3">
        <v>7327.68</v>
      </c>
      <c r="H18" s="9">
        <f t="shared" si="1"/>
        <v>1465.5360000000001</v>
      </c>
    </row>
    <row r="19" spans="1:8" x14ac:dyDescent="0.25">
      <c r="B19" s="6" t="s">
        <v>24</v>
      </c>
      <c r="C19" s="1" t="s">
        <v>45</v>
      </c>
      <c r="D19" s="5"/>
      <c r="E19" s="2">
        <v>5</v>
      </c>
      <c r="F19" s="10" t="s">
        <v>27</v>
      </c>
      <c r="G19" s="3">
        <f>343.8*5</f>
        <v>1719</v>
      </c>
      <c r="H19" s="9">
        <f t="shared" si="1"/>
        <v>343.8</v>
      </c>
    </row>
    <row r="20" spans="1:8" x14ac:dyDescent="0.25">
      <c r="B20" s="6" t="s">
        <v>59</v>
      </c>
      <c r="C20" s="1" t="s">
        <v>25</v>
      </c>
      <c r="D20" s="5"/>
      <c r="E20" s="2">
        <v>1</v>
      </c>
      <c r="F20" s="10" t="s">
        <v>4</v>
      </c>
      <c r="G20" s="3">
        <v>503.291</v>
      </c>
      <c r="H20" s="9">
        <f t="shared" si="1"/>
        <v>503.291</v>
      </c>
    </row>
    <row r="21" spans="1:8" x14ac:dyDescent="0.25">
      <c r="A21" s="11" t="s">
        <v>82</v>
      </c>
    </row>
    <row r="22" spans="1:8" x14ac:dyDescent="0.25">
      <c r="A22" s="11" t="s">
        <v>84</v>
      </c>
    </row>
    <row r="23" spans="1:8" x14ac:dyDescent="0.25">
      <c r="A23" s="11" t="s">
        <v>71</v>
      </c>
    </row>
    <row r="24" spans="1:8" x14ac:dyDescent="0.25">
      <c r="A24" s="11" t="s">
        <v>65</v>
      </c>
    </row>
    <row r="25" spans="1:8" x14ac:dyDescent="0.25">
      <c r="A25" s="11" t="s">
        <v>66</v>
      </c>
    </row>
  </sheetData>
  <sheetProtection algorithmName="SHA-512" hashValue="28bDDJlXwyTMyc1rkmH7bKe2oYrn9udYxevF2cCAUWZrs9mTAEkRZMOa8MO1gcKTXG3FtRhfpKOH423aITYPDw==" saltValue="z9w5nd0+xwTwL4PJcs7sfA==" spinCount="100000" sheet="1" objects="1" scenarios="1"/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30"/>
  <sheetViews>
    <sheetView topLeftCell="H1" zoomScale="82" zoomScaleNormal="82" workbookViewId="0">
      <selection activeCell="S17" sqref="S17"/>
    </sheetView>
  </sheetViews>
  <sheetFormatPr baseColWidth="10" defaultRowHeight="15.75" x14ac:dyDescent="0.25"/>
  <cols>
    <col min="1" max="1" width="25.7109375" style="15" hidden="1" customWidth="1"/>
    <col min="2" max="2" width="5.7109375" style="15" hidden="1" customWidth="1"/>
    <col min="3" max="3" width="7.140625" style="24" hidden="1" customWidth="1"/>
    <col min="4" max="4" width="8.42578125" style="24" hidden="1" customWidth="1"/>
    <col min="5" max="5" width="15.5703125" style="24" hidden="1" customWidth="1"/>
    <col min="6" max="6" width="15.5703125" style="15" hidden="1" customWidth="1"/>
    <col min="7" max="7" width="0" style="15" hidden="1" customWidth="1"/>
    <col min="8" max="8" width="26.85546875" style="21" customWidth="1"/>
    <col min="9" max="9" width="18.28515625" style="21" bestFit="1" customWidth="1"/>
    <col min="10" max="10" width="5.85546875" style="21" bestFit="1" customWidth="1"/>
    <col min="11" max="11" width="11.42578125" style="23"/>
    <col min="12" max="12" width="6.7109375" style="58" customWidth="1"/>
    <col min="13" max="13" width="17.140625" style="21" customWidth="1"/>
    <col min="14" max="14" width="5.85546875" style="21" bestFit="1" customWidth="1"/>
    <col min="15" max="15" width="11.42578125" style="23"/>
    <col min="16" max="16" width="6.28515625" style="58" customWidth="1"/>
    <col min="17" max="17" width="17.85546875" style="21" customWidth="1"/>
    <col min="18" max="18" width="5.85546875" style="21" bestFit="1" customWidth="1"/>
    <col min="19" max="19" width="11.42578125" style="23"/>
    <col min="20" max="20" width="6.7109375" style="58" customWidth="1"/>
    <col min="21" max="21" width="17.85546875" style="21" customWidth="1"/>
    <col min="22" max="22" width="5.85546875" style="21" bestFit="1" customWidth="1"/>
    <col min="23" max="23" width="11.42578125" style="23"/>
    <col min="24" max="24" width="6.7109375" style="58" customWidth="1"/>
    <col min="25" max="25" width="25.42578125" style="21" bestFit="1" customWidth="1"/>
    <col min="26" max="16384" width="11.42578125" style="21"/>
  </cols>
  <sheetData>
    <row r="1" spans="1:24" ht="19.5" customHeight="1" x14ac:dyDescent="0.25">
      <c r="I1" s="80" t="s">
        <v>28</v>
      </c>
      <c r="J1" s="80"/>
      <c r="K1" s="80"/>
      <c r="L1" s="36"/>
      <c r="M1" s="78" t="s">
        <v>29</v>
      </c>
      <c r="N1" s="78"/>
      <c r="O1" s="78"/>
      <c r="Q1" s="79" t="s">
        <v>30</v>
      </c>
      <c r="R1" s="79"/>
      <c r="S1" s="79"/>
      <c r="U1" s="72" t="s">
        <v>31</v>
      </c>
      <c r="V1" s="72"/>
      <c r="W1" s="72"/>
    </row>
    <row r="2" spans="1:24" ht="69.75" customHeight="1" x14ac:dyDescent="0.25">
      <c r="A2" s="25" t="str">
        <f>Precios!B1</f>
        <v>Insumos necesarios según protocolo de La Red en Ate. Brown</v>
      </c>
      <c r="B2" s="73" t="str">
        <f>Precios!C1</f>
        <v>Presentación</v>
      </c>
      <c r="C2" s="73"/>
      <c r="D2" s="73"/>
      <c r="E2" s="26" t="str">
        <f>Precios!G1</f>
        <v>Precio,$ (sin IVA)</v>
      </c>
      <c r="F2" s="26" t="str">
        <f>Precios!H1</f>
        <v>Precio, $/unidad (sin IVA)</v>
      </c>
      <c r="G2" s="27"/>
      <c r="I2" s="28" t="s">
        <v>32</v>
      </c>
      <c r="J2" s="29"/>
      <c r="K2" s="30" t="s">
        <v>33</v>
      </c>
      <c r="L2" s="64"/>
      <c r="M2" s="31" t="s">
        <v>32</v>
      </c>
      <c r="N2" s="32"/>
      <c r="O2" s="33" t="s">
        <v>33</v>
      </c>
      <c r="P2" s="64"/>
      <c r="Q2" s="31" t="s">
        <v>32</v>
      </c>
      <c r="R2" s="32"/>
      <c r="S2" s="33" t="s">
        <v>33</v>
      </c>
      <c r="T2" s="64"/>
      <c r="U2" s="31" t="s">
        <v>32</v>
      </c>
      <c r="V2" s="29"/>
      <c r="W2" s="33" t="s">
        <v>33</v>
      </c>
      <c r="X2" s="64"/>
    </row>
    <row r="3" spans="1:24" x14ac:dyDescent="0.25">
      <c r="A3" s="13" t="str">
        <f>Precios!B2</f>
        <v>Ketamina</v>
      </c>
      <c r="B3" s="13" t="str">
        <f>Precios!C2</f>
        <v>HOLLIDAY-KETAMINA 50 INY(X 50 ML)</v>
      </c>
      <c r="C3" s="13">
        <f>Precios!E2</f>
        <v>50</v>
      </c>
      <c r="D3" s="13" t="str">
        <f>Precios!F2</f>
        <v>mL</v>
      </c>
      <c r="E3" s="14">
        <f>Precios!G2</f>
        <v>1342.35</v>
      </c>
      <c r="F3" s="14">
        <f>Precios!H2</f>
        <v>26.846999999999998</v>
      </c>
      <c r="H3" s="20" t="str">
        <f>A3</f>
        <v>Ketamina</v>
      </c>
      <c r="I3" s="22">
        <v>0.4</v>
      </c>
      <c r="J3" s="22" t="str">
        <f>D3</f>
        <v>mL</v>
      </c>
      <c r="K3" s="19">
        <f>(I3*F3)</f>
        <v>10.738799999999999</v>
      </c>
      <c r="L3" s="34"/>
      <c r="M3" s="22">
        <v>1.3</v>
      </c>
      <c r="N3" s="22" t="str">
        <f>D3</f>
        <v>mL</v>
      </c>
      <c r="O3" s="19">
        <f>(M3*F3)</f>
        <v>34.9011</v>
      </c>
      <c r="P3" s="34"/>
      <c r="Q3" s="22">
        <v>3</v>
      </c>
      <c r="R3" s="22" t="str">
        <f>D3</f>
        <v>mL</v>
      </c>
      <c r="S3" s="19">
        <f>(Q3*F3)</f>
        <v>80.540999999999997</v>
      </c>
      <c r="T3" s="34"/>
      <c r="U3" s="22">
        <v>5</v>
      </c>
      <c r="V3" s="22" t="str">
        <f>D3</f>
        <v>mL</v>
      </c>
      <c r="W3" s="19">
        <f>(U3*F3)</f>
        <v>134.23499999999999</v>
      </c>
      <c r="X3" s="34"/>
    </row>
    <row r="4" spans="1:24" x14ac:dyDescent="0.25">
      <c r="A4" s="13" t="str">
        <f>Precios!B3</f>
        <v>Diazepam</v>
      </c>
      <c r="B4" s="13" t="str">
        <f>Precios!C3</f>
        <v>LAMAR SRL-DIAZEPAM INY(X 2 FCOS X 10 ML)</v>
      </c>
      <c r="C4" s="13">
        <f>Precios!E3</f>
        <v>10</v>
      </c>
      <c r="D4" s="13" t="str">
        <f>Precios!F3</f>
        <v>mL</v>
      </c>
      <c r="E4" s="14">
        <f>Precios!G3</f>
        <v>409.09</v>
      </c>
      <c r="F4" s="14">
        <f>Precios!H3</f>
        <v>40.908999999999999</v>
      </c>
      <c r="H4" s="20" t="str">
        <f t="shared" ref="H4:H20" si="0">A4</f>
        <v>Diazepam</v>
      </c>
      <c r="I4" s="22">
        <v>0.2</v>
      </c>
      <c r="J4" s="22" t="str">
        <f t="shared" ref="J4:J20" si="1">D4</f>
        <v>mL</v>
      </c>
      <c r="K4" s="19">
        <f t="shared" ref="K4:K11" si="2">(I4*F4)</f>
        <v>8.1818000000000008</v>
      </c>
      <c r="L4" s="34"/>
      <c r="M4" s="22"/>
      <c r="N4" s="22" t="str">
        <f t="shared" ref="N4:N20" si="3">D4</f>
        <v>mL</v>
      </c>
      <c r="O4" s="19">
        <f t="shared" ref="O4:O11" si="4">(M4*F4)</f>
        <v>0</v>
      </c>
      <c r="P4" s="34"/>
      <c r="Q4" s="22">
        <v>0.8</v>
      </c>
      <c r="R4" s="22" t="str">
        <f t="shared" ref="R4:R20" si="5">D4</f>
        <v>mL</v>
      </c>
      <c r="S4" s="19">
        <f t="shared" ref="S4:S11" si="6">(Q4*F4)</f>
        <v>32.727200000000003</v>
      </c>
      <c r="T4" s="34"/>
      <c r="U4" s="22">
        <v>1.5</v>
      </c>
      <c r="V4" s="22" t="str">
        <f t="shared" ref="V4:V20" si="7">D4</f>
        <v>mL</v>
      </c>
      <c r="W4" s="19">
        <f t="shared" ref="W4:W11" si="8">(U4*F4)</f>
        <v>61.363500000000002</v>
      </c>
      <c r="X4" s="34"/>
    </row>
    <row r="5" spans="1:24" x14ac:dyDescent="0.25">
      <c r="A5" s="13" t="str">
        <f>Precios!B4</f>
        <v>Acepromacina</v>
      </c>
      <c r="B5" s="13" t="str">
        <f>Precios!C4</f>
        <v>HOLLIDAY-ACEDAN INY(X 50 ML)</v>
      </c>
      <c r="C5" s="13">
        <f>Precios!E4</f>
        <v>50</v>
      </c>
      <c r="D5" s="13" t="str">
        <f>Precios!F4</f>
        <v>mL</v>
      </c>
      <c r="E5" s="14">
        <f>Precios!G4</f>
        <v>1115.0899999999999</v>
      </c>
      <c r="F5" s="14">
        <f>Precios!H4</f>
        <v>22.3018</v>
      </c>
      <c r="H5" s="20" t="str">
        <f t="shared" si="0"/>
        <v>Acepromacina</v>
      </c>
      <c r="I5" s="22">
        <v>0.04</v>
      </c>
      <c r="J5" s="22" t="str">
        <f t="shared" si="1"/>
        <v>mL</v>
      </c>
      <c r="K5" s="19">
        <f t="shared" si="2"/>
        <v>0.89207199999999998</v>
      </c>
      <c r="L5" s="34"/>
      <c r="M5" s="22">
        <v>0.1</v>
      </c>
      <c r="N5" s="22" t="str">
        <f t="shared" si="3"/>
        <v>mL</v>
      </c>
      <c r="O5" s="19">
        <f t="shared" si="4"/>
        <v>2.2301800000000003</v>
      </c>
      <c r="P5" s="34"/>
      <c r="Q5" s="22">
        <v>0.2</v>
      </c>
      <c r="R5" s="22" t="str">
        <f t="shared" si="5"/>
        <v>mL</v>
      </c>
      <c r="S5" s="19">
        <f t="shared" si="6"/>
        <v>4.4603600000000005</v>
      </c>
      <c r="T5" s="34"/>
      <c r="U5" s="22">
        <v>0.25</v>
      </c>
      <c r="V5" s="22" t="str">
        <f t="shared" si="7"/>
        <v>mL</v>
      </c>
      <c r="W5" s="19">
        <f t="shared" si="8"/>
        <v>5.57545</v>
      </c>
      <c r="X5" s="34"/>
    </row>
    <row r="6" spans="1:24" x14ac:dyDescent="0.25">
      <c r="A6" s="13" t="str">
        <f>Precios!B5</f>
        <v>Tramadol 5%</v>
      </c>
      <c r="B6" s="13" t="str">
        <f>Precios!C5</f>
        <v>JOHN MARTIN-TRAMADOL INY(X 50 ML)</v>
      </c>
      <c r="C6" s="13">
        <f>Precios!E5</f>
        <v>50</v>
      </c>
      <c r="D6" s="13" t="str">
        <f>Precios!F5</f>
        <v>mL</v>
      </c>
      <c r="E6" s="14">
        <f>Precios!G5</f>
        <v>1414.31</v>
      </c>
      <c r="F6" s="14">
        <f>Precios!H5</f>
        <v>28.286199999999997</v>
      </c>
      <c r="H6" s="20" t="str">
        <f t="shared" si="0"/>
        <v>Tramadol 5%</v>
      </c>
      <c r="I6" s="22">
        <v>0.05</v>
      </c>
      <c r="J6" s="22" t="str">
        <f t="shared" si="1"/>
        <v>mL</v>
      </c>
      <c r="K6" s="19">
        <f t="shared" si="2"/>
        <v>1.41431</v>
      </c>
      <c r="L6" s="34"/>
      <c r="M6" s="22">
        <v>0.2</v>
      </c>
      <c r="N6" s="22" t="str">
        <f t="shared" si="3"/>
        <v>mL</v>
      </c>
      <c r="O6" s="19">
        <f t="shared" si="4"/>
        <v>5.6572399999999998</v>
      </c>
      <c r="P6" s="34"/>
      <c r="Q6" s="22">
        <v>0.5</v>
      </c>
      <c r="R6" s="22" t="str">
        <f t="shared" si="5"/>
        <v>mL</v>
      </c>
      <c r="S6" s="19">
        <f t="shared" si="6"/>
        <v>14.143099999999999</v>
      </c>
      <c r="T6" s="34"/>
      <c r="U6" s="22">
        <v>0.7</v>
      </c>
      <c r="V6" s="22" t="str">
        <f t="shared" si="7"/>
        <v>mL</v>
      </c>
      <c r="W6" s="19">
        <f t="shared" si="8"/>
        <v>19.800339999999998</v>
      </c>
      <c r="X6" s="34"/>
    </row>
    <row r="7" spans="1:24" x14ac:dyDescent="0.25">
      <c r="A7" s="13" t="str">
        <f>Precios!B6</f>
        <v>Penicilina (depósito)</v>
      </c>
      <c r="B7" s="13" t="str">
        <f>Precios!C6</f>
        <v>OVER-PENICILINA ESTREPTOMICINA 5.000.000 UI(X6FRX25 mL)</v>
      </c>
      <c r="C7" s="13">
        <f>Precios!E6</f>
        <v>150</v>
      </c>
      <c r="D7" s="13" t="str">
        <f>Precios!F6</f>
        <v>mL</v>
      </c>
      <c r="E7" s="14">
        <f>Precios!G6</f>
        <v>3098.7</v>
      </c>
      <c r="F7" s="14">
        <f>Precios!H6</f>
        <v>20.657999999999998</v>
      </c>
      <c r="H7" s="20" t="str">
        <f t="shared" si="0"/>
        <v>Penicilina (depósito)</v>
      </c>
      <c r="I7" s="22">
        <v>0.2</v>
      </c>
      <c r="J7" s="22" t="str">
        <f t="shared" si="1"/>
        <v>mL</v>
      </c>
      <c r="K7" s="19">
        <f t="shared" si="2"/>
        <v>4.1315999999999997</v>
      </c>
      <c r="L7" s="34"/>
      <c r="M7" s="22">
        <v>0.5</v>
      </c>
      <c r="N7" s="22" t="str">
        <f t="shared" si="3"/>
        <v>mL</v>
      </c>
      <c r="O7" s="19">
        <f t="shared" si="4"/>
        <v>10.328999999999999</v>
      </c>
      <c r="P7" s="34"/>
      <c r="Q7" s="22">
        <v>1</v>
      </c>
      <c r="R7" s="22" t="str">
        <f t="shared" si="5"/>
        <v>mL</v>
      </c>
      <c r="S7" s="19">
        <f t="shared" si="6"/>
        <v>20.657999999999998</v>
      </c>
      <c r="T7" s="34"/>
      <c r="U7" s="22">
        <v>2</v>
      </c>
      <c r="V7" s="22" t="str">
        <f t="shared" si="7"/>
        <v>mL</v>
      </c>
      <c r="W7" s="19">
        <f t="shared" si="8"/>
        <v>41.315999999999995</v>
      </c>
      <c r="X7" s="34"/>
    </row>
    <row r="8" spans="1:24" x14ac:dyDescent="0.25">
      <c r="A8" s="13" t="str">
        <f>Precios!B7</f>
        <v>Jeringa 3 mL *</v>
      </c>
      <c r="B8" s="13" t="str">
        <f>Precios!C7</f>
        <v>JERINGA DESC NEOJET S/AGUJAS X 3 CC</v>
      </c>
      <c r="C8" s="13">
        <f>Precios!E7</f>
        <v>1</v>
      </c>
      <c r="D8" s="13" t="str">
        <f>Precios!F7</f>
        <v>unid</v>
      </c>
      <c r="E8" s="14">
        <f>Precios!G7</f>
        <v>8.5540000000000003</v>
      </c>
      <c r="F8" s="14">
        <f>Precios!H7</f>
        <v>8.5540000000000003</v>
      </c>
      <c r="H8" s="20" t="str">
        <f t="shared" si="0"/>
        <v>Jeringa 3 mL *</v>
      </c>
      <c r="I8" s="22">
        <v>1</v>
      </c>
      <c r="J8" s="22" t="str">
        <f t="shared" si="1"/>
        <v>unid</v>
      </c>
      <c r="K8" s="19">
        <f t="shared" si="2"/>
        <v>8.5540000000000003</v>
      </c>
      <c r="L8" s="34"/>
      <c r="M8" s="22">
        <v>1</v>
      </c>
      <c r="N8" s="22" t="str">
        <f t="shared" si="3"/>
        <v>unid</v>
      </c>
      <c r="O8" s="19">
        <f t="shared" si="4"/>
        <v>8.5540000000000003</v>
      </c>
      <c r="P8" s="34"/>
      <c r="Q8" s="22">
        <v>1</v>
      </c>
      <c r="R8" s="22" t="str">
        <f t="shared" si="5"/>
        <v>unid</v>
      </c>
      <c r="S8" s="19">
        <f t="shared" si="6"/>
        <v>8.5540000000000003</v>
      </c>
      <c r="T8" s="34"/>
      <c r="U8" s="22">
        <v>1</v>
      </c>
      <c r="V8" s="22" t="str">
        <f t="shared" si="7"/>
        <v>unid</v>
      </c>
      <c r="W8" s="19">
        <f t="shared" si="8"/>
        <v>8.5540000000000003</v>
      </c>
      <c r="X8" s="34"/>
    </row>
    <row r="9" spans="1:24" x14ac:dyDescent="0.25">
      <c r="A9" s="13" t="str">
        <f>Precios!B8</f>
        <v>Aguja 25/8</v>
      </c>
      <c r="B9" s="13" t="str">
        <f>Precios!C8</f>
        <v>AGUJAS DESC PLASTICA 25 X 8 C/ VERDE(X 100 UNIDADES)</v>
      </c>
      <c r="C9" s="13">
        <f>Precios!E8</f>
        <v>100</v>
      </c>
      <c r="D9" s="13" t="str">
        <f>Precios!F8</f>
        <v>unid</v>
      </c>
      <c r="E9" s="14">
        <f>Precios!G8</f>
        <v>375</v>
      </c>
      <c r="F9" s="14">
        <f>Precios!H8</f>
        <v>3.75</v>
      </c>
      <c r="H9" s="20" t="str">
        <f t="shared" si="0"/>
        <v>Aguja 25/8</v>
      </c>
      <c r="I9" s="22">
        <v>4</v>
      </c>
      <c r="J9" s="22" t="str">
        <f t="shared" si="1"/>
        <v>unid</v>
      </c>
      <c r="K9" s="19">
        <f t="shared" si="2"/>
        <v>15</v>
      </c>
      <c r="L9" s="34"/>
      <c r="M9" s="22">
        <v>4</v>
      </c>
      <c r="N9" s="22" t="str">
        <f t="shared" si="3"/>
        <v>unid</v>
      </c>
      <c r="O9" s="19">
        <f t="shared" si="4"/>
        <v>15</v>
      </c>
      <c r="P9" s="34"/>
      <c r="Q9" s="22">
        <v>4</v>
      </c>
      <c r="R9" s="22" t="str">
        <f t="shared" si="5"/>
        <v>unid</v>
      </c>
      <c r="S9" s="19">
        <f t="shared" si="6"/>
        <v>15</v>
      </c>
      <c r="T9" s="34"/>
      <c r="U9" s="22">
        <v>4</v>
      </c>
      <c r="V9" s="22" t="str">
        <f t="shared" si="7"/>
        <v>unid</v>
      </c>
      <c r="W9" s="19">
        <f t="shared" si="8"/>
        <v>15</v>
      </c>
      <c r="X9" s="34"/>
    </row>
    <row r="10" spans="1:24" x14ac:dyDescent="0.25">
      <c r="A10" s="13" t="str">
        <f>Precios!B9</f>
        <v>Butterfly nro. 23</v>
      </c>
      <c r="B10" s="13" t="str">
        <f>Precios!C9</f>
        <v>BUTTERFLY 23 G(UNIDAD)</v>
      </c>
      <c r="C10" s="13">
        <f>Precios!E9</f>
        <v>1</v>
      </c>
      <c r="D10" s="13" t="str">
        <f>Precios!F9</f>
        <v>unid</v>
      </c>
      <c r="E10" s="14">
        <f>Precios!G9</f>
        <v>19.62</v>
      </c>
      <c r="F10" s="14">
        <f>Precios!H9</f>
        <v>19.62</v>
      </c>
      <c r="H10" s="20" t="str">
        <f t="shared" si="0"/>
        <v>Butterfly nro. 23</v>
      </c>
      <c r="I10" s="22">
        <v>1</v>
      </c>
      <c r="J10" s="22" t="str">
        <f t="shared" si="1"/>
        <v>unid</v>
      </c>
      <c r="K10" s="19">
        <f t="shared" si="2"/>
        <v>19.62</v>
      </c>
      <c r="L10" s="34"/>
      <c r="M10" s="22">
        <v>1</v>
      </c>
      <c r="N10" s="22" t="str">
        <f t="shared" si="3"/>
        <v>unid</v>
      </c>
      <c r="O10" s="19">
        <f t="shared" si="4"/>
        <v>19.62</v>
      </c>
      <c r="P10" s="34"/>
      <c r="Q10" s="22">
        <v>1</v>
      </c>
      <c r="R10" s="22" t="str">
        <f t="shared" si="5"/>
        <v>unid</v>
      </c>
      <c r="S10" s="19">
        <f t="shared" si="6"/>
        <v>19.62</v>
      </c>
      <c r="T10" s="34"/>
      <c r="U10" s="22">
        <v>1</v>
      </c>
      <c r="V10" s="22" t="str">
        <f t="shared" si="7"/>
        <v>unid</v>
      </c>
      <c r="W10" s="19">
        <f t="shared" si="8"/>
        <v>19.62</v>
      </c>
      <c r="X10" s="34"/>
    </row>
    <row r="11" spans="1:24" x14ac:dyDescent="0.25">
      <c r="A11" s="13" t="str">
        <f>Precios!B10</f>
        <v>Guantes descartables</v>
      </c>
      <c r="B11" s="13" t="str">
        <f>Precios!C10</f>
        <v>Caja-guantes de látex</v>
      </c>
      <c r="C11" s="13">
        <f>Precios!E10</f>
        <v>100</v>
      </c>
      <c r="D11" s="13" t="str">
        <f>Precios!F10</f>
        <v>unid</v>
      </c>
      <c r="E11" s="14">
        <f>Precios!G10</f>
        <v>700</v>
      </c>
      <c r="F11" s="14">
        <f>Precios!H10</f>
        <v>7</v>
      </c>
      <c r="H11" s="20" t="str">
        <f t="shared" si="0"/>
        <v>Guantes descartables</v>
      </c>
      <c r="I11" s="22">
        <v>4</v>
      </c>
      <c r="J11" s="22" t="str">
        <f t="shared" si="1"/>
        <v>unid</v>
      </c>
      <c r="K11" s="19">
        <f t="shared" si="2"/>
        <v>28</v>
      </c>
      <c r="L11" s="34"/>
      <c r="M11" s="22">
        <v>4</v>
      </c>
      <c r="N11" s="22" t="str">
        <f t="shared" si="3"/>
        <v>unid</v>
      </c>
      <c r="O11" s="19">
        <f t="shared" si="4"/>
        <v>28</v>
      </c>
      <c r="P11" s="34"/>
      <c r="Q11" s="22">
        <v>4</v>
      </c>
      <c r="R11" s="22" t="str">
        <f t="shared" si="5"/>
        <v>unid</v>
      </c>
      <c r="S11" s="19">
        <f t="shared" si="6"/>
        <v>28</v>
      </c>
      <c r="T11" s="34"/>
      <c r="U11" s="22">
        <v>4</v>
      </c>
      <c r="V11" s="22" t="str">
        <f t="shared" si="7"/>
        <v>unid</v>
      </c>
      <c r="W11" s="19">
        <f t="shared" si="8"/>
        <v>28</v>
      </c>
      <c r="X11" s="34"/>
    </row>
    <row r="12" spans="1:24" x14ac:dyDescent="0.25">
      <c r="A12" s="13" t="str">
        <f>Precios!B11</f>
        <v>Bisturí</v>
      </c>
      <c r="B12" s="13" t="str">
        <f>Precios!C11</f>
        <v>SWANN MORTON Nro 24. CajaX100</v>
      </c>
      <c r="C12" s="13">
        <f>Precios!E11</f>
        <v>100</v>
      </c>
      <c r="D12" s="13" t="str">
        <f>Precios!F11</f>
        <v>unid</v>
      </c>
      <c r="E12" s="14">
        <f>Precios!G11</f>
        <v>7734.2892561983472</v>
      </c>
      <c r="F12" s="14">
        <f>Precios!H11</f>
        <v>77.342892561983476</v>
      </c>
      <c r="H12" s="20" t="str">
        <f t="shared" si="0"/>
        <v>Bisturí</v>
      </c>
      <c r="I12" s="22" t="s">
        <v>36</v>
      </c>
      <c r="J12" s="22" t="str">
        <f t="shared" si="1"/>
        <v>unid</v>
      </c>
      <c r="K12" s="19">
        <f>F12/10</f>
        <v>7.7342892561983474</v>
      </c>
      <c r="L12" s="34"/>
      <c r="M12" s="22" t="s">
        <v>36</v>
      </c>
      <c r="N12" s="22" t="str">
        <f t="shared" si="3"/>
        <v>unid</v>
      </c>
      <c r="O12" s="19">
        <f>F12/10</f>
        <v>7.7342892561983474</v>
      </c>
      <c r="P12" s="34"/>
      <c r="Q12" s="22" t="s">
        <v>36</v>
      </c>
      <c r="R12" s="22" t="str">
        <f t="shared" si="5"/>
        <v>unid</v>
      </c>
      <c r="S12" s="19">
        <f>F12/10</f>
        <v>7.7342892561983474</v>
      </c>
      <c r="T12" s="34"/>
      <c r="U12" s="22" t="s">
        <v>36</v>
      </c>
      <c r="V12" s="22" t="str">
        <f t="shared" si="7"/>
        <v>unid</v>
      </c>
      <c r="W12" s="19">
        <f>F12/10</f>
        <v>7.7342892561983474</v>
      </c>
      <c r="X12" s="34"/>
    </row>
    <row r="13" spans="1:24" x14ac:dyDescent="0.25">
      <c r="A13" s="13" t="str">
        <f>Precios!B12</f>
        <v>Campos de friselina</v>
      </c>
      <c r="B13" s="13" t="str">
        <f>Precios!C12</f>
        <v>Rollo friselina 45g 150mx1,50m. Rinde 642 campos de 50x70cm</v>
      </c>
      <c r="C13" s="13">
        <f>Precios!E12</f>
        <v>642</v>
      </c>
      <c r="D13" s="13" t="str">
        <f>Precios!F12</f>
        <v>unid</v>
      </c>
      <c r="E13" s="14">
        <f>Precios!G12</f>
        <v>9706.6115702479347</v>
      </c>
      <c r="F13" s="14">
        <f>Precios!H12</f>
        <v>15.119332663937593</v>
      </c>
      <c r="H13" s="20" t="str">
        <f t="shared" si="0"/>
        <v>Campos de friselina</v>
      </c>
      <c r="I13" s="22">
        <v>1</v>
      </c>
      <c r="J13" s="22" t="str">
        <f t="shared" si="1"/>
        <v>unid</v>
      </c>
      <c r="K13" s="19">
        <f t="shared" ref="K13:K17" si="9">(F13*I13)</f>
        <v>15.119332663937593</v>
      </c>
      <c r="L13" s="34"/>
      <c r="M13" s="22">
        <v>1</v>
      </c>
      <c r="N13" s="22" t="str">
        <f t="shared" si="3"/>
        <v>unid</v>
      </c>
      <c r="O13" s="19">
        <f t="shared" ref="O13:O17" si="10">(M13*F13)</f>
        <v>15.119332663937593</v>
      </c>
      <c r="P13" s="34"/>
      <c r="Q13" s="22">
        <v>1</v>
      </c>
      <c r="R13" s="22" t="str">
        <f t="shared" si="5"/>
        <v>unid</v>
      </c>
      <c r="S13" s="19">
        <f t="shared" ref="S13:S17" si="11">(Q13*F13)</f>
        <v>15.119332663937593</v>
      </c>
      <c r="T13" s="34"/>
      <c r="U13" s="22">
        <v>1</v>
      </c>
      <c r="V13" s="22" t="str">
        <f t="shared" si="7"/>
        <v>unid</v>
      </c>
      <c r="W13" s="19">
        <f t="shared" ref="W13:W17" si="12">(U13*F13)</f>
        <v>15.119332663937593</v>
      </c>
      <c r="X13" s="34"/>
    </row>
    <row r="14" spans="1:24" x14ac:dyDescent="0.25">
      <c r="A14" s="13" t="str">
        <f>Precios!B13</f>
        <v>Hilo de ligadura (lino)</v>
      </c>
      <c r="B14" s="13" t="str">
        <f>Precios!C13</f>
        <v>HILO DE LINO N 20-170mt GRUSCHWITZ</v>
      </c>
      <c r="C14" s="13">
        <f>Precios!E13</f>
        <v>170</v>
      </c>
      <c r="D14" s="13" t="str">
        <f>Precios!F13</f>
        <v>m</v>
      </c>
      <c r="E14" s="14">
        <f>Precios!G13</f>
        <v>2685.1239669421489</v>
      </c>
      <c r="F14" s="14">
        <f>Precios!H13</f>
        <v>15.794846864365581</v>
      </c>
      <c r="H14" s="20" t="str">
        <f t="shared" si="0"/>
        <v>Hilo de ligadura (lino)</v>
      </c>
      <c r="I14" s="17">
        <v>0.5</v>
      </c>
      <c r="J14" s="22" t="str">
        <f t="shared" si="1"/>
        <v>m</v>
      </c>
      <c r="K14" s="19">
        <f t="shared" si="9"/>
        <v>7.8974234321827907</v>
      </c>
      <c r="L14" s="34"/>
      <c r="M14" s="17">
        <v>0.5</v>
      </c>
      <c r="N14" s="22" t="str">
        <f t="shared" si="3"/>
        <v>m</v>
      </c>
      <c r="O14" s="19">
        <f t="shared" si="10"/>
        <v>7.8974234321827907</v>
      </c>
      <c r="P14" s="34"/>
      <c r="Q14" s="17">
        <v>0.5</v>
      </c>
      <c r="R14" s="22" t="str">
        <f t="shared" si="5"/>
        <v>m</v>
      </c>
      <c r="S14" s="19">
        <f t="shared" si="11"/>
        <v>7.8974234321827907</v>
      </c>
      <c r="T14" s="34"/>
      <c r="U14" s="17">
        <v>0.5</v>
      </c>
      <c r="V14" s="22" t="str">
        <f t="shared" si="7"/>
        <v>m</v>
      </c>
      <c r="W14" s="19">
        <f t="shared" si="12"/>
        <v>7.8974234321827907</v>
      </c>
      <c r="X14" s="34"/>
    </row>
    <row r="15" spans="1:24" x14ac:dyDescent="0.25">
      <c r="A15" s="13" t="str">
        <f>Precios!B14</f>
        <v>Hilo de sutura (tanza)</v>
      </c>
      <c r="B15" s="13" t="str">
        <f>Precios!C14</f>
        <v>Tanza de pesca 0,40 mm marca Nitanyl</v>
      </c>
      <c r="C15" s="13">
        <f>Precios!E14</f>
        <v>6484</v>
      </c>
      <c r="D15" s="13" t="str">
        <f>Precios!F14</f>
        <v>m</v>
      </c>
      <c r="E15" s="14">
        <f>Precios!G14</f>
        <v>3904.9586776859505</v>
      </c>
      <c r="F15" s="14">
        <f>Precios!H14</f>
        <v>0.60224532351726567</v>
      </c>
      <c r="H15" s="20" t="str">
        <f t="shared" si="0"/>
        <v>Hilo de sutura (tanza)</v>
      </c>
      <c r="I15" s="17">
        <v>0.5</v>
      </c>
      <c r="J15" s="22" t="str">
        <f t="shared" si="1"/>
        <v>m</v>
      </c>
      <c r="K15" s="19">
        <f t="shared" si="9"/>
        <v>0.30112266175863284</v>
      </c>
      <c r="L15" s="34"/>
      <c r="M15" s="17">
        <v>0.5</v>
      </c>
      <c r="N15" s="22" t="str">
        <f t="shared" si="3"/>
        <v>m</v>
      </c>
      <c r="O15" s="19">
        <f t="shared" si="10"/>
        <v>0.30112266175863284</v>
      </c>
      <c r="P15" s="34"/>
      <c r="Q15" s="17">
        <v>0.5</v>
      </c>
      <c r="R15" s="22" t="str">
        <f t="shared" si="5"/>
        <v>m</v>
      </c>
      <c r="S15" s="19">
        <f t="shared" si="11"/>
        <v>0.30112266175863284</v>
      </c>
      <c r="T15" s="34"/>
      <c r="U15" s="17">
        <v>0.5</v>
      </c>
      <c r="V15" s="22" t="str">
        <f t="shared" si="7"/>
        <v>m</v>
      </c>
      <c r="W15" s="19">
        <f t="shared" si="12"/>
        <v>0.30112266175863284</v>
      </c>
      <c r="X15" s="34"/>
    </row>
    <row r="16" spans="1:24" x14ac:dyDescent="0.25">
      <c r="A16" s="13" t="str">
        <f>Precios!B15</f>
        <v>Tela adhesiva</v>
      </c>
      <c r="B16" s="13" t="str">
        <f>Precios!C15</f>
        <v>5cmX9Metros-CajaX6 Rollos.Corte a lo largo 2,5cm ancho</v>
      </c>
      <c r="C16" s="13">
        <f>Precios!E15</f>
        <v>108</v>
      </c>
      <c r="D16" s="13" t="str">
        <f>Precios!F15</f>
        <v>m</v>
      </c>
      <c r="E16" s="14">
        <f>Precios!G15</f>
        <v>983.47107438016531</v>
      </c>
      <c r="F16" s="14">
        <f>Precios!H15</f>
        <v>9.1062136516681971</v>
      </c>
      <c r="H16" s="20" t="str">
        <f t="shared" si="0"/>
        <v>Tela adhesiva</v>
      </c>
      <c r="I16" s="17">
        <v>0.2</v>
      </c>
      <c r="J16" s="22" t="str">
        <f t="shared" si="1"/>
        <v>m</v>
      </c>
      <c r="K16" s="19">
        <f t="shared" si="9"/>
        <v>1.8212427303336396</v>
      </c>
      <c r="L16" s="34"/>
      <c r="M16" s="17">
        <v>0.2</v>
      </c>
      <c r="N16" s="22" t="str">
        <f t="shared" si="3"/>
        <v>m</v>
      </c>
      <c r="O16" s="19">
        <f t="shared" si="10"/>
        <v>1.8212427303336396</v>
      </c>
      <c r="P16" s="34"/>
      <c r="Q16" s="17">
        <v>0.2</v>
      </c>
      <c r="R16" s="22" t="str">
        <f t="shared" si="5"/>
        <v>m</v>
      </c>
      <c r="S16" s="19">
        <f t="shared" si="11"/>
        <v>1.8212427303336396</v>
      </c>
      <c r="T16" s="34"/>
      <c r="U16" s="17">
        <v>0.2</v>
      </c>
      <c r="V16" s="22" t="str">
        <f t="shared" si="7"/>
        <v>m</v>
      </c>
      <c r="W16" s="19">
        <f t="shared" si="12"/>
        <v>1.8212427303336396</v>
      </c>
      <c r="X16" s="34"/>
    </row>
    <row r="17" spans="1:24" x14ac:dyDescent="0.25">
      <c r="A17" s="13" t="str">
        <f>Precios!B16</f>
        <v>Algodón</v>
      </c>
      <c r="B17" s="13" t="str">
        <f>Precios!C16</f>
        <v>ALGODON HIDROFILO(X 500 GRS)</v>
      </c>
      <c r="C17" s="13">
        <f>Precios!E16</f>
        <v>500</v>
      </c>
      <c r="D17" s="13" t="str">
        <f>Precios!F16</f>
        <v>grs</v>
      </c>
      <c r="E17" s="14">
        <f>Precios!G16</f>
        <v>371.90082644628103</v>
      </c>
      <c r="F17" s="14">
        <f>Precios!H16</f>
        <v>0.74380165289256206</v>
      </c>
      <c r="H17" s="20" t="str">
        <f t="shared" si="0"/>
        <v>Algodón</v>
      </c>
      <c r="I17" s="17">
        <v>10</v>
      </c>
      <c r="J17" s="22" t="str">
        <f t="shared" si="1"/>
        <v>grs</v>
      </c>
      <c r="K17" s="19">
        <f t="shared" si="9"/>
        <v>7.4380165289256208</v>
      </c>
      <c r="L17" s="34"/>
      <c r="M17" s="17">
        <v>10</v>
      </c>
      <c r="N17" s="22" t="str">
        <f t="shared" si="3"/>
        <v>grs</v>
      </c>
      <c r="O17" s="19">
        <f t="shared" si="10"/>
        <v>7.4380165289256208</v>
      </c>
      <c r="P17" s="34"/>
      <c r="Q17" s="17">
        <v>10</v>
      </c>
      <c r="R17" s="22" t="str">
        <f t="shared" si="5"/>
        <v>grs</v>
      </c>
      <c r="S17" s="19">
        <f t="shared" si="11"/>
        <v>7.4380165289256208</v>
      </c>
      <c r="T17" s="34"/>
      <c r="U17" s="17">
        <v>10</v>
      </c>
      <c r="V17" s="22" t="str">
        <f t="shared" si="7"/>
        <v>grs</v>
      </c>
      <c r="W17" s="19">
        <f t="shared" si="12"/>
        <v>7.4380165289256208</v>
      </c>
      <c r="X17" s="34"/>
    </row>
    <row r="18" spans="1:24" x14ac:dyDescent="0.25">
      <c r="A18" s="13" t="str">
        <f>Precios!B17</f>
        <v>Gasa</v>
      </c>
      <c r="B18" s="13" t="str">
        <f>Precios!C17</f>
        <v>Trozada 10x10cm</v>
      </c>
      <c r="C18" s="13">
        <f>Precios!E17</f>
        <v>1</v>
      </c>
      <c r="D18" s="13" t="str">
        <f>Precios!F17</f>
        <v>kg</v>
      </c>
      <c r="E18" s="14">
        <f>Precios!G17</f>
        <v>1900.8264462809918</v>
      </c>
      <c r="F18" s="14">
        <f>Precios!H17</f>
        <v>1900.8264462809918</v>
      </c>
      <c r="H18" s="20" t="str">
        <f t="shared" si="0"/>
        <v>Gasa</v>
      </c>
      <c r="I18" s="17" t="s">
        <v>37</v>
      </c>
      <c r="J18" s="22" t="str">
        <f t="shared" si="1"/>
        <v>kg</v>
      </c>
      <c r="K18" s="34">
        <f>(F18/300)</f>
        <v>6.336088154269973</v>
      </c>
      <c r="L18" s="34"/>
      <c r="M18" s="17" t="s">
        <v>37</v>
      </c>
      <c r="N18" s="22" t="str">
        <f t="shared" si="3"/>
        <v>kg</v>
      </c>
      <c r="O18" s="34">
        <f>(K18)</f>
        <v>6.336088154269973</v>
      </c>
      <c r="P18" s="34"/>
      <c r="Q18" s="17" t="s">
        <v>37</v>
      </c>
      <c r="R18" s="22" t="str">
        <f t="shared" si="5"/>
        <v>kg</v>
      </c>
      <c r="S18" s="34">
        <f>(K18)</f>
        <v>6.336088154269973</v>
      </c>
      <c r="T18" s="34"/>
      <c r="U18" s="17" t="s">
        <v>37</v>
      </c>
      <c r="V18" s="22" t="str">
        <f t="shared" si="7"/>
        <v>kg</v>
      </c>
      <c r="W18" s="19">
        <f>(K18)</f>
        <v>6.336088154269973</v>
      </c>
      <c r="X18" s="34"/>
    </row>
    <row r="19" spans="1:24" x14ac:dyDescent="0.25">
      <c r="A19" s="13" t="str">
        <f>Precios!B18</f>
        <v>Iodopovidona</v>
      </c>
      <c r="B19" s="13" t="str">
        <f>Precios!C18</f>
        <v>WEIZUR-POVIZUR(X 5 LT)</v>
      </c>
      <c r="C19" s="13">
        <f>Precios!E18</f>
        <v>5</v>
      </c>
      <c r="D19" s="13" t="str">
        <f>Precios!F18</f>
        <v>lt</v>
      </c>
      <c r="E19" s="14">
        <f>Precios!G18</f>
        <v>7327.68</v>
      </c>
      <c r="F19" s="14">
        <f>Precios!H18</f>
        <v>1465.5360000000001</v>
      </c>
      <c r="H19" s="20" t="str">
        <f t="shared" si="0"/>
        <v>Iodopovidona</v>
      </c>
      <c r="I19" s="17" t="s">
        <v>38</v>
      </c>
      <c r="J19" s="22" t="str">
        <f t="shared" si="1"/>
        <v>lt</v>
      </c>
      <c r="K19" s="34">
        <f>(F19/100)</f>
        <v>14.65536</v>
      </c>
      <c r="L19" s="34"/>
      <c r="M19" s="17" t="s">
        <v>38</v>
      </c>
      <c r="N19" s="22" t="str">
        <f t="shared" si="3"/>
        <v>lt</v>
      </c>
      <c r="O19" s="34">
        <f t="shared" ref="O19:O20" si="13">(K19)</f>
        <v>14.65536</v>
      </c>
      <c r="P19" s="34"/>
      <c r="Q19" s="17" t="s">
        <v>38</v>
      </c>
      <c r="R19" s="22" t="str">
        <f t="shared" si="5"/>
        <v>lt</v>
      </c>
      <c r="S19" s="34">
        <f t="shared" ref="S19:S21" si="14">(K19)</f>
        <v>14.65536</v>
      </c>
      <c r="T19" s="34"/>
      <c r="U19" s="17" t="s">
        <v>38</v>
      </c>
      <c r="V19" s="22" t="str">
        <f t="shared" si="7"/>
        <v>lt</v>
      </c>
      <c r="W19" s="19">
        <f t="shared" ref="W19:W21" si="15">(K19)</f>
        <v>14.65536</v>
      </c>
      <c r="X19" s="34"/>
    </row>
    <row r="20" spans="1:24" x14ac:dyDescent="0.25">
      <c r="A20" s="13" t="str">
        <f>Precios!B19</f>
        <v>Agua Oxigenada</v>
      </c>
      <c r="B20" s="13" t="str">
        <f>Precios!C19</f>
        <v>AGUA OXIGENADA(X 5L)</v>
      </c>
      <c r="C20" s="13">
        <f>Precios!E19</f>
        <v>5</v>
      </c>
      <c r="D20" s="13" t="str">
        <f>Precios!F19</f>
        <v>lt</v>
      </c>
      <c r="E20" s="14">
        <f>Precios!G19</f>
        <v>1719</v>
      </c>
      <c r="F20" s="14">
        <f>Precios!H19</f>
        <v>343.8</v>
      </c>
      <c r="H20" s="20" t="str">
        <f t="shared" si="0"/>
        <v>Agua Oxigenada</v>
      </c>
      <c r="I20" s="17" t="s">
        <v>38</v>
      </c>
      <c r="J20" s="22" t="str">
        <f t="shared" si="1"/>
        <v>lt</v>
      </c>
      <c r="K20" s="34">
        <f>(F20/100)</f>
        <v>3.4380000000000002</v>
      </c>
      <c r="L20" s="34"/>
      <c r="M20" s="17" t="s">
        <v>38</v>
      </c>
      <c r="N20" s="22" t="str">
        <f t="shared" si="3"/>
        <v>lt</v>
      </c>
      <c r="O20" s="34">
        <f t="shared" si="13"/>
        <v>3.4380000000000002</v>
      </c>
      <c r="P20" s="34"/>
      <c r="Q20" s="17" t="s">
        <v>38</v>
      </c>
      <c r="R20" s="22" t="str">
        <f t="shared" si="5"/>
        <v>lt</v>
      </c>
      <c r="S20" s="34">
        <f t="shared" si="14"/>
        <v>3.4380000000000002</v>
      </c>
      <c r="T20" s="34"/>
      <c r="U20" s="17" t="s">
        <v>38</v>
      </c>
      <c r="V20" s="22" t="str">
        <f t="shared" si="7"/>
        <v>lt</v>
      </c>
      <c r="W20" s="19">
        <f t="shared" si="15"/>
        <v>3.4380000000000002</v>
      </c>
      <c r="X20" s="34"/>
    </row>
    <row r="21" spans="1:24" s="15" customFormat="1" x14ac:dyDescent="0.25">
      <c r="A21" s="13" t="str">
        <f>Precios!B20</f>
        <v>Curabichera aerosol</v>
      </c>
      <c r="B21" s="13" t="str">
        <f>Precios!C20</f>
        <v>BROUWER-KIL AG(X 440 ML)</v>
      </c>
      <c r="C21" s="13">
        <f>Precios!E20</f>
        <v>1</v>
      </c>
      <c r="D21" s="13" t="str">
        <f>Precios!F20</f>
        <v>unid</v>
      </c>
      <c r="E21" s="14">
        <f>Precios!G20</f>
        <v>503.291</v>
      </c>
      <c r="F21" s="14">
        <f>Precios!H20</f>
        <v>503.291</v>
      </c>
      <c r="H21" s="20" t="str">
        <f>A21</f>
        <v>Curabichera aerosol</v>
      </c>
      <c r="I21" s="17" t="s">
        <v>39</v>
      </c>
      <c r="J21" s="18" t="str">
        <f>D21</f>
        <v>unid</v>
      </c>
      <c r="K21" s="19">
        <f>(3*F21)/100</f>
        <v>15.09873</v>
      </c>
      <c r="L21" s="34"/>
      <c r="M21" s="17"/>
      <c r="N21" s="17"/>
      <c r="O21" s="34"/>
      <c r="P21" s="34"/>
      <c r="Q21" s="17" t="s">
        <v>39</v>
      </c>
      <c r="R21" s="17" t="str">
        <f>D21</f>
        <v>unid</v>
      </c>
      <c r="S21" s="34">
        <f t="shared" si="14"/>
        <v>15.09873</v>
      </c>
      <c r="T21" s="34"/>
      <c r="U21" s="17" t="s">
        <v>39</v>
      </c>
      <c r="V21" s="20" t="str">
        <f>D21</f>
        <v>unid</v>
      </c>
      <c r="W21" s="19">
        <f t="shared" si="15"/>
        <v>15.09873</v>
      </c>
      <c r="X21" s="34"/>
    </row>
    <row r="22" spans="1:24" ht="48" customHeight="1" x14ac:dyDescent="0.25">
      <c r="A22" s="13"/>
      <c r="B22" s="13"/>
      <c r="C22" s="13"/>
      <c r="D22" s="13"/>
      <c r="E22" s="14"/>
      <c r="F22" s="14"/>
      <c r="H22" s="16" t="s">
        <v>83</v>
      </c>
      <c r="I22" s="17"/>
      <c r="J22" s="18"/>
      <c r="K22" s="19">
        <f>SUM(K3:K21)*0.1</f>
        <v>17.637218742760659</v>
      </c>
      <c r="L22" s="34"/>
      <c r="M22" s="17"/>
      <c r="N22" s="17"/>
      <c r="O22" s="19">
        <f>K22</f>
        <v>17.637218742760659</v>
      </c>
      <c r="P22" s="34"/>
      <c r="Q22" s="17"/>
      <c r="R22" s="17"/>
      <c r="S22" s="19">
        <f>K22</f>
        <v>17.637218742760659</v>
      </c>
      <c r="T22" s="34"/>
      <c r="U22" s="17"/>
      <c r="V22" s="20"/>
      <c r="W22" s="19">
        <f>K22</f>
        <v>17.637218742760659</v>
      </c>
      <c r="X22" s="34"/>
    </row>
    <row r="23" spans="1:24" x14ac:dyDescent="0.25">
      <c r="A23" s="35"/>
      <c r="B23" s="35"/>
      <c r="C23" s="36"/>
      <c r="D23" s="36"/>
      <c r="E23" s="36"/>
      <c r="F23" s="37"/>
      <c r="I23" s="38" t="s">
        <v>34</v>
      </c>
      <c r="J23" s="39"/>
      <c r="K23" s="40">
        <f>SUM(K3:K22)</f>
        <v>194.00940617036724</v>
      </c>
      <c r="M23" s="41" t="s">
        <v>34</v>
      </c>
      <c r="N23" s="42"/>
      <c r="O23" s="43">
        <f>SUM(O3:O22)</f>
        <v>206.66961417036725</v>
      </c>
      <c r="Q23" s="44" t="s">
        <v>34</v>
      </c>
      <c r="R23" s="45"/>
      <c r="S23" s="46">
        <f>SUM(S3:S22)</f>
        <v>321.18048417036721</v>
      </c>
      <c r="U23" s="47" t="s">
        <v>34</v>
      </c>
      <c r="V23" s="48"/>
      <c r="W23" s="49">
        <f>SUM(W3:W22)</f>
        <v>430.9411141703672</v>
      </c>
    </row>
    <row r="24" spans="1:24" x14ac:dyDescent="0.25">
      <c r="A24" s="35"/>
      <c r="B24" s="35"/>
      <c r="C24" s="36"/>
      <c r="D24" s="36"/>
      <c r="E24" s="50"/>
      <c r="F24" s="36"/>
    </row>
    <row r="25" spans="1:24" x14ac:dyDescent="0.25">
      <c r="A25" s="35"/>
      <c r="B25" s="35"/>
      <c r="C25" s="36"/>
      <c r="D25" s="36"/>
      <c r="E25" s="50"/>
      <c r="F25" s="36"/>
      <c r="M25" s="74" t="s">
        <v>46</v>
      </c>
      <c r="N25" s="75"/>
      <c r="O25" s="51">
        <f>AVERAGE(K23,O23,S23,W23)</f>
        <v>288.20015467036723</v>
      </c>
      <c r="P25" s="68" t="s">
        <v>81</v>
      </c>
      <c r="Q25" s="69"/>
    </row>
    <row r="26" spans="1:24" x14ac:dyDescent="0.25">
      <c r="A26" s="35"/>
      <c r="B26" s="35"/>
      <c r="C26" s="36"/>
      <c r="D26" s="36"/>
      <c r="E26" s="36"/>
      <c r="F26" s="36"/>
      <c r="M26" s="76" t="s">
        <v>54</v>
      </c>
      <c r="N26" s="77"/>
      <c r="O26" s="52">
        <f>(K23*0.1+O23*0.4+S23*0.4+W23*0.1)</f>
        <v>273.63509137036726</v>
      </c>
      <c r="P26" s="70" t="s">
        <v>81</v>
      </c>
      <c r="Q26" s="71"/>
    </row>
    <row r="28" spans="1:24" x14ac:dyDescent="0.25">
      <c r="M28" s="53"/>
      <c r="O28" s="54"/>
    </row>
    <row r="29" spans="1:24" x14ac:dyDescent="0.25">
      <c r="M29" s="53"/>
      <c r="O29" s="54"/>
    </row>
    <row r="30" spans="1:24" x14ac:dyDescent="0.25">
      <c r="M30" s="53"/>
      <c r="O30" s="54"/>
    </row>
  </sheetData>
  <sheetProtection algorithmName="SHA-512" hashValue="mAAZsGxrDDNwGtCOxvbKRnq4zj11EsYw6ucYnrdttrcXFTtP2CP+EguccyIAHvcPm3VsVaj92DsIiKzbfcV0gA==" saltValue="2QVdUFuuhzl6Z00mEbkXOw==" spinCount="100000" sheet="1" objects="1" scenarios="1"/>
  <mergeCells count="7">
    <mergeCell ref="U1:W1"/>
    <mergeCell ref="B2:D2"/>
    <mergeCell ref="M25:N25"/>
    <mergeCell ref="M26:N26"/>
    <mergeCell ref="M1:O1"/>
    <mergeCell ref="Q1:S1"/>
    <mergeCell ref="I1:K1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zoomScale="90" zoomScaleNormal="90" workbookViewId="0">
      <selection activeCell="G3" sqref="G3"/>
    </sheetView>
  </sheetViews>
  <sheetFormatPr baseColWidth="10" defaultRowHeight="15" x14ac:dyDescent="0.25"/>
  <cols>
    <col min="1" max="1" width="7.7109375" customWidth="1"/>
    <col min="2" max="2" width="22.85546875" customWidth="1"/>
    <col min="3" max="4" width="13.5703125" customWidth="1"/>
    <col min="5" max="5" width="12.5703125" hidden="1" customWidth="1"/>
    <col min="6" max="6" width="2.5703125" style="63" customWidth="1"/>
    <col min="7" max="8" width="13.5703125" customWidth="1"/>
    <col min="9" max="9" width="12.5703125" hidden="1" customWidth="1"/>
    <col min="10" max="10" width="2.85546875" customWidth="1"/>
    <col min="11" max="12" width="13.5703125" customWidth="1"/>
    <col min="13" max="13" width="12.5703125" hidden="1" customWidth="1"/>
    <col min="14" max="14" width="2.7109375" customWidth="1"/>
    <col min="15" max="16" width="13.5703125" customWidth="1"/>
    <col min="17" max="17" width="12.5703125" hidden="1" customWidth="1"/>
  </cols>
  <sheetData>
    <row r="1" spans="1:17" ht="19.5" customHeight="1" x14ac:dyDescent="0.25">
      <c r="B1" s="21"/>
      <c r="C1" s="93" t="str">
        <f>Costos!I1</f>
        <v>TEMPRANA caninos</v>
      </c>
      <c r="D1" s="93"/>
      <c r="E1" s="94"/>
      <c r="F1" s="36"/>
      <c r="G1" s="91" t="str">
        <f>Costos!M1</f>
        <v>FELINO adulto</v>
      </c>
      <c r="H1" s="91"/>
      <c r="I1" s="92"/>
      <c r="K1" s="83" t="str">
        <f>Costos!Q1</f>
        <v>CANINO 10 kg</v>
      </c>
      <c r="L1" s="83"/>
      <c r="M1" s="84"/>
      <c r="O1" s="95" t="str">
        <f>Costos!U1</f>
        <v>CANINO 20 kg</v>
      </c>
      <c r="P1" s="95"/>
      <c r="Q1" s="96"/>
    </row>
    <row r="2" spans="1:17" ht="69.75" customHeight="1" x14ac:dyDescent="0.25">
      <c r="A2" s="65" t="s">
        <v>72</v>
      </c>
      <c r="B2" s="67" t="s">
        <v>78</v>
      </c>
      <c r="C2" s="56" t="s">
        <v>67</v>
      </c>
      <c r="D2" s="57" t="s">
        <v>68</v>
      </c>
      <c r="E2" s="57" t="s">
        <v>69</v>
      </c>
      <c r="F2" s="62"/>
      <c r="G2" s="56" t="s">
        <v>67</v>
      </c>
      <c r="H2" s="57" t="s">
        <v>68</v>
      </c>
      <c r="I2" s="57" t="s">
        <v>69</v>
      </c>
      <c r="K2" s="56" t="s">
        <v>67</v>
      </c>
      <c r="L2" s="57" t="s">
        <v>68</v>
      </c>
      <c r="M2" s="57" t="s">
        <v>69</v>
      </c>
      <c r="O2" s="56" t="s">
        <v>67</v>
      </c>
      <c r="P2" s="57" t="s">
        <v>68</v>
      </c>
      <c r="Q2" s="57" t="s">
        <v>69</v>
      </c>
    </row>
    <row r="3" spans="1:17" ht="15.75" x14ac:dyDescent="0.25">
      <c r="A3" s="81" t="s">
        <v>73</v>
      </c>
      <c r="B3" s="59" t="str">
        <f>Costos!H3</f>
        <v>Ketamina</v>
      </c>
      <c r="C3" s="60">
        <f>Costos!K3/Costos!$K$23*100</f>
        <v>5.5351955412769209</v>
      </c>
      <c r="D3" s="85">
        <f>SUM(C3:C7)</f>
        <v>13.07080027745234</v>
      </c>
      <c r="E3" s="60">
        <f>C3/$D$3*100</f>
        <v>42.347793737047276</v>
      </c>
      <c r="F3" s="55"/>
      <c r="G3" s="60">
        <f>Costos!O3/Costos!$O$23*100</f>
        <v>16.88738818239116</v>
      </c>
      <c r="H3" s="85">
        <f>SUM(G3:G7)</f>
        <v>25.70165924643997</v>
      </c>
      <c r="I3" s="60">
        <f>G3/$H$3*100</f>
        <v>65.705439561184335</v>
      </c>
      <c r="K3" s="60">
        <f>Costos!S3/Costos!$S$23*100</f>
        <v>25.07655476267287</v>
      </c>
      <c r="L3" s="85">
        <f>SUM(K3:K7)</f>
        <v>47.490326317302653</v>
      </c>
      <c r="M3" s="60">
        <f>K3/$L$3*100</f>
        <v>52.803500643743661</v>
      </c>
      <c r="O3" s="60">
        <f>Costos!W3/Costos!$W$23*100</f>
        <v>31.149267402444185</v>
      </c>
      <c r="P3" s="85">
        <f>SUM(O3:O7)</f>
        <v>60.864531458074509</v>
      </c>
      <c r="Q3" s="60">
        <f>O3/$P$3*100</f>
        <v>51.178028740598826</v>
      </c>
    </row>
    <row r="4" spans="1:17" ht="15.75" x14ac:dyDescent="0.25">
      <c r="A4" s="81"/>
      <c r="B4" s="59" t="str">
        <f>Costos!H4</f>
        <v>Diazepam</v>
      </c>
      <c r="C4" s="60">
        <f>Costos!K4/Costos!$K$23*100</f>
        <v>4.2172182068405704</v>
      </c>
      <c r="D4" s="86"/>
      <c r="E4" s="60">
        <f t="shared" ref="E4:E7" si="0">C4/$D$3*100</f>
        <v>32.264422356108085</v>
      </c>
      <c r="F4" s="55"/>
      <c r="G4" s="60">
        <f>Costos!O4/Costos!$O$23*100</f>
        <v>0</v>
      </c>
      <c r="H4" s="86"/>
      <c r="I4" s="60">
        <f>G4/$H$3*100</f>
        <v>0</v>
      </c>
      <c r="K4" s="60">
        <f>Costos!S4/Costos!$S$23*100</f>
        <v>10.189660210687073</v>
      </c>
      <c r="L4" s="86"/>
      <c r="M4" s="60">
        <f>K4/$L$3*100</f>
        <v>21.456285944648407</v>
      </c>
      <c r="O4" s="60">
        <f>Costos!W4/Costos!$W$23*100</f>
        <v>14.239416472975632</v>
      </c>
      <c r="P4" s="86"/>
      <c r="Q4" s="60">
        <f>O4/$P$3*100</f>
        <v>23.395261791810899</v>
      </c>
    </row>
    <row r="5" spans="1:17" ht="15.75" x14ac:dyDescent="0.25">
      <c r="A5" s="81"/>
      <c r="B5" s="59" t="str">
        <f>Costos!H5</f>
        <v>Acepromacina</v>
      </c>
      <c r="C5" s="60">
        <f>Costos!K5/Costos!$K$23*100</f>
        <v>0.45980863382295833</v>
      </c>
      <c r="D5" s="86"/>
      <c r="E5" s="60">
        <f t="shared" si="0"/>
        <v>3.5178307682976904</v>
      </c>
      <c r="F5" s="55"/>
      <c r="G5" s="60">
        <f>Costos!O5/Costos!$O$23*100</f>
        <v>1.0791039645342158</v>
      </c>
      <c r="H5" s="86"/>
      <c r="I5" s="60">
        <f>G5/$H$3*100</f>
        <v>4.1985770420004549</v>
      </c>
      <c r="K5" s="60">
        <f>Costos!S5/Costos!$S$23*100</f>
        <v>1.3887394221729998</v>
      </c>
      <c r="L5" s="86"/>
      <c r="M5" s="60">
        <f>K5/$L$3*100</f>
        <v>2.9242574853966117</v>
      </c>
      <c r="O5" s="60">
        <f>Costos!W5/Costos!$W$23*100</f>
        <v>1.2937846533240771</v>
      </c>
      <c r="P5" s="86"/>
      <c r="Q5" s="60">
        <f>O5/$P$3*100</f>
        <v>2.1256791473294729</v>
      </c>
    </row>
    <row r="6" spans="1:17" ht="15.75" x14ac:dyDescent="0.25">
      <c r="A6" s="81"/>
      <c r="B6" s="59" t="str">
        <f>Costos!H6</f>
        <v>Tramadol 5%</v>
      </c>
      <c r="C6" s="60">
        <f>Costos!K6/Costos!$K$23*100</f>
        <v>0.72899042779299017</v>
      </c>
      <c r="D6" s="86"/>
      <c r="E6" s="60">
        <f t="shared" si="0"/>
        <v>5.5772440272882768</v>
      </c>
      <c r="F6" s="55"/>
      <c r="G6" s="60">
        <f>Costos!O6/Costos!$O$23*100</f>
        <v>2.7373351533605117</v>
      </c>
      <c r="H6" s="86"/>
      <c r="I6" s="60">
        <f>G6/$H$3*100</f>
        <v>10.65042193234925</v>
      </c>
      <c r="K6" s="60">
        <f>Costos!S6/Costos!$S$23*100</f>
        <v>4.4034742760079784</v>
      </c>
      <c r="L6" s="86"/>
      <c r="M6" s="60">
        <f>K6/$L$3*100</f>
        <v>9.2723605363048733</v>
      </c>
      <c r="O6" s="60">
        <f>Costos!W6/Costos!$W$23*100</f>
        <v>4.5946741559154605</v>
      </c>
      <c r="P6" s="86"/>
      <c r="Q6" s="60">
        <f>O6/$P$3*100</f>
        <v>7.5490175408323363</v>
      </c>
    </row>
    <row r="7" spans="1:17" ht="15.75" x14ac:dyDescent="0.25">
      <c r="A7" s="81"/>
      <c r="B7" s="59" t="str">
        <f>Costos!H7</f>
        <v>Penicilina (depósito)</v>
      </c>
      <c r="C7" s="60">
        <f>Costos!K7/Costos!$K$23*100</f>
        <v>2.1295874677189004</v>
      </c>
      <c r="D7" s="87"/>
      <c r="E7" s="60">
        <f t="shared" si="0"/>
        <v>16.292709111258667</v>
      </c>
      <c r="F7" s="55"/>
      <c r="G7" s="60">
        <f>Costos!O7/Costos!$O$23*100</f>
        <v>4.9978319461540828</v>
      </c>
      <c r="H7" s="87"/>
      <c r="I7" s="60">
        <f>G7/$H$3*100</f>
        <v>19.44556146446596</v>
      </c>
      <c r="K7" s="60">
        <f>Costos!S7/Costos!$S$23*100</f>
        <v>6.4318976457617376</v>
      </c>
      <c r="L7" s="87"/>
      <c r="M7" s="60">
        <f>K7/$L$3*100</f>
        <v>13.543595389906463</v>
      </c>
      <c r="O7" s="60">
        <f>Costos!W7/Costos!$W$23*100</f>
        <v>9.5873887734151602</v>
      </c>
      <c r="P7" s="87"/>
      <c r="Q7" s="60">
        <f>O7/$P$3*100</f>
        <v>15.752012779428473</v>
      </c>
    </row>
    <row r="8" spans="1:17" ht="15.75" x14ac:dyDescent="0.25">
      <c r="A8" s="81" t="s">
        <v>74</v>
      </c>
      <c r="B8" s="20" t="str">
        <f>Costos!H8</f>
        <v>Jeringa 3 mL *</v>
      </c>
      <c r="C8" s="19">
        <f>Costos!K8/Costos!$K$23*100</f>
        <v>4.4090645751930184</v>
      </c>
      <c r="D8" s="88">
        <f>SUM(C8:C12)</f>
        <v>40.672403886905308</v>
      </c>
      <c r="E8" s="34">
        <f>C8/$D$8*100</f>
        <v>10.840432710721924</v>
      </c>
      <c r="F8" s="55"/>
      <c r="G8" s="19">
        <f>Costos!O8/Costos!$O$23*100</f>
        <v>4.1389732275536861</v>
      </c>
      <c r="H8" s="88">
        <f>SUM(G8:G12)</f>
        <v>38.180885745086172</v>
      </c>
      <c r="I8" s="34">
        <f>G8/$H$8*100</f>
        <v>10.840432710721926</v>
      </c>
      <c r="K8" s="19">
        <f>Costos!S8/Costos!$S$23*100</f>
        <v>2.6633000514011962</v>
      </c>
      <c r="L8" s="88">
        <f>SUM(K8:K12)</f>
        <v>24.568207953239828</v>
      </c>
      <c r="M8" s="34">
        <f>K8/$L$8*100</f>
        <v>10.840432710721927</v>
      </c>
      <c r="O8" s="19">
        <f>Costos!W8/Costos!$W$23*100</f>
        <v>1.9849579719187069</v>
      </c>
      <c r="P8" s="88">
        <f>SUM(O8:O12)</f>
        <v>18.310689479723891</v>
      </c>
      <c r="Q8" s="34">
        <f>O8/$P$8*100</f>
        <v>10.840432710721926</v>
      </c>
    </row>
    <row r="9" spans="1:17" ht="15.75" x14ac:dyDescent="0.25">
      <c r="A9" s="81"/>
      <c r="B9" s="20" t="str">
        <f>Costos!H9</f>
        <v>Aguja 25/8</v>
      </c>
      <c r="C9" s="19">
        <f>Costos!K9/Costos!$K$23*100</f>
        <v>7.7315838938385868</v>
      </c>
      <c r="D9" s="89"/>
      <c r="E9" s="34">
        <f t="shared" ref="E9:E12" si="1">C9/$D$8*100</f>
        <v>19.009409710174054</v>
      </c>
      <c r="F9" s="55"/>
      <c r="G9" s="19">
        <f>Costos!O9/Costos!$O$23*100</f>
        <v>7.2579610022568728</v>
      </c>
      <c r="H9" s="89"/>
      <c r="I9" s="34">
        <f>G9/$H$8*100</f>
        <v>19.009409710174054</v>
      </c>
      <c r="K9" s="19">
        <f>Costos!S9/Costos!$S$23*100</f>
        <v>4.6702713082789264</v>
      </c>
      <c r="L9" s="89"/>
      <c r="M9" s="34">
        <f>K9/$L$8*100</f>
        <v>19.009409710174054</v>
      </c>
      <c r="O9" s="19">
        <f>Costos!W9/Costos!$W$23*100</f>
        <v>3.4807539839584525</v>
      </c>
      <c r="P9" s="89"/>
      <c r="Q9" s="34">
        <f>O9/$P$8*100</f>
        <v>19.009409710174054</v>
      </c>
    </row>
    <row r="10" spans="1:17" ht="15.75" x14ac:dyDescent="0.25">
      <c r="A10" s="81"/>
      <c r="B10" s="20" t="str">
        <f>Costos!H10</f>
        <v>Butterfly nro. 23</v>
      </c>
      <c r="C10" s="19">
        <f>Costos!K10/Costos!$K$23*100</f>
        <v>10.112911733140873</v>
      </c>
      <c r="D10" s="89"/>
      <c r="E10" s="34">
        <f t="shared" si="1"/>
        <v>24.864307900907665</v>
      </c>
      <c r="F10" s="55"/>
      <c r="G10" s="19">
        <f>Costos!O10/Costos!$O$23*100</f>
        <v>9.4934129909519918</v>
      </c>
      <c r="H10" s="89"/>
      <c r="I10" s="34">
        <f>G10/$H$8*100</f>
        <v>24.864307900907669</v>
      </c>
      <c r="K10" s="19">
        <f>Costos!S10/Costos!$S$23*100</f>
        <v>6.1087148712288366</v>
      </c>
      <c r="L10" s="89"/>
      <c r="M10" s="34">
        <f>K10/$L$8*100</f>
        <v>24.864307900907669</v>
      </c>
      <c r="O10" s="19">
        <f>Costos!W10/Costos!$W$23*100</f>
        <v>4.5528262110176563</v>
      </c>
      <c r="P10" s="89"/>
      <c r="Q10" s="34">
        <f>O10/$P$8*100</f>
        <v>24.864307900907669</v>
      </c>
    </row>
    <row r="11" spans="1:17" ht="15.75" x14ac:dyDescent="0.25">
      <c r="A11" s="81"/>
      <c r="B11" s="20" t="str">
        <f>Costos!H11</f>
        <v>Guantes descartables</v>
      </c>
      <c r="C11" s="19">
        <f>Costos!K11/Costos!$K$23*100</f>
        <v>14.432289935165363</v>
      </c>
      <c r="D11" s="89"/>
      <c r="E11" s="34">
        <f t="shared" si="1"/>
        <v>35.484231458991566</v>
      </c>
      <c r="F11" s="55"/>
      <c r="G11" s="19">
        <f>Costos!O11/Costos!$O$23*100</f>
        <v>13.548193870879496</v>
      </c>
      <c r="H11" s="89"/>
      <c r="I11" s="34">
        <f>G11/$H$8*100</f>
        <v>35.484231458991573</v>
      </c>
      <c r="K11" s="19">
        <f>Costos!S11/Costos!$S$23*100</f>
        <v>8.7178397754539958</v>
      </c>
      <c r="L11" s="89"/>
      <c r="M11" s="34">
        <f>K11/$L$8*100</f>
        <v>35.484231458991573</v>
      </c>
      <c r="O11" s="19">
        <f>Costos!W11/Costos!$W$23*100</f>
        <v>6.4974074367224448</v>
      </c>
      <c r="P11" s="89"/>
      <c r="Q11" s="34">
        <f>O11/$P$8*100</f>
        <v>35.484231458991573</v>
      </c>
    </row>
    <row r="12" spans="1:17" ht="15.75" x14ac:dyDescent="0.25">
      <c r="A12" s="81"/>
      <c r="B12" s="20" t="str">
        <f>Costos!H12</f>
        <v>Bisturí</v>
      </c>
      <c r="C12" s="19">
        <f>Costos!K12/Costos!$K$23*100</f>
        <v>3.9865537495674648</v>
      </c>
      <c r="D12" s="90"/>
      <c r="E12" s="34">
        <f t="shared" si="1"/>
        <v>9.8016182192047836</v>
      </c>
      <c r="F12" s="55"/>
      <c r="G12" s="19">
        <f>Costos!O12/Costos!$O$23*100</f>
        <v>3.7423446534441283</v>
      </c>
      <c r="H12" s="90"/>
      <c r="I12" s="34">
        <f>G12/$H$8*100</f>
        <v>9.8016182192047836</v>
      </c>
      <c r="K12" s="19">
        <f>Costos!S12/Costos!$S$23*100</f>
        <v>2.4080819468768735</v>
      </c>
      <c r="L12" s="90"/>
      <c r="M12" s="34">
        <f>K12/$L$8*100</f>
        <v>9.8016182192047836</v>
      </c>
      <c r="O12" s="19">
        <f>Costos!W12/Costos!$W$23*100</f>
        <v>1.7947438761066303</v>
      </c>
      <c r="P12" s="90"/>
      <c r="Q12" s="34">
        <f>O12/$P$8*100</f>
        <v>9.8016182192047836</v>
      </c>
    </row>
    <row r="13" spans="1:17" ht="15.75" x14ac:dyDescent="0.25">
      <c r="A13" s="81" t="s">
        <v>75</v>
      </c>
      <c r="B13" s="59" t="str">
        <f>Costos!H13</f>
        <v>Campos de friselina</v>
      </c>
      <c r="C13" s="60">
        <f>Costos!K13/Costos!$K$23*100</f>
        <v>7.793092594005838</v>
      </c>
      <c r="D13" s="85">
        <f>SUM(C13:C18)</f>
        <v>20.057391514943884</v>
      </c>
      <c r="E13" s="60">
        <f>C13/$D$13*100</f>
        <v>38.853968564155245</v>
      </c>
      <c r="F13" s="55"/>
      <c r="G13" s="60">
        <f>Costos!O13/Costos!$O$23*100</f>
        <v>7.3157017903338382</v>
      </c>
      <c r="H13" s="85">
        <f>SUM(G13:G18)</f>
        <v>18.828711868272176</v>
      </c>
      <c r="I13" s="60">
        <f t="shared" ref="I13:I18" si="2">G13/$H$13*100</f>
        <v>38.853968564155238</v>
      </c>
      <c r="K13" s="60">
        <f>Costos!S13/Costos!$S$23*100</f>
        <v>4.7074257027141426</v>
      </c>
      <c r="L13" s="85">
        <f>SUM(K13:K18)</f>
        <v>12.115688246726439</v>
      </c>
      <c r="M13" s="60">
        <f t="shared" ref="M13:M18" si="3">K13/$L$13*100</f>
        <v>38.853968564155252</v>
      </c>
      <c r="O13" s="60">
        <f>Costos!W13/Costos!$W$23*100</f>
        <v>3.5084451603195963</v>
      </c>
      <c r="P13" s="85">
        <f>SUM(O13:O18)</f>
        <v>9.0298244683203741</v>
      </c>
      <c r="Q13" s="60">
        <f t="shared" ref="Q13:Q18" si="4">O13/$P$13*100</f>
        <v>38.853968564155238</v>
      </c>
    </row>
    <row r="14" spans="1:17" ht="15.75" x14ac:dyDescent="0.25">
      <c r="A14" s="81"/>
      <c r="B14" s="59" t="str">
        <f>Costos!H14</f>
        <v>Hilo de ligadura (lino)</v>
      </c>
      <c r="C14" s="60">
        <f>Costos!K14/Costos!$K$23*100</f>
        <v>4.0706394540725288</v>
      </c>
      <c r="D14" s="86"/>
      <c r="E14" s="60">
        <f t="shared" ref="E14:E18" si="5">C14/$D$13*100</f>
        <v>20.29495934722954</v>
      </c>
      <c r="F14" s="55"/>
      <c r="G14" s="60">
        <f>Costos!O14/Costos!$O$23*100</f>
        <v>3.8212794192728214</v>
      </c>
      <c r="H14" s="86"/>
      <c r="I14" s="60">
        <f t="shared" si="2"/>
        <v>20.29495934722954</v>
      </c>
      <c r="K14" s="60">
        <f>Costos!S14/Costos!$S$23*100</f>
        <v>2.4588740043101982</v>
      </c>
      <c r="L14" s="86"/>
      <c r="M14" s="60">
        <f t="shared" si="3"/>
        <v>20.29495934722954</v>
      </c>
      <c r="O14" s="60">
        <f>Costos!W14/Costos!$W$23*100</f>
        <v>1.8325992049718056</v>
      </c>
      <c r="P14" s="86"/>
      <c r="Q14" s="60">
        <f t="shared" si="4"/>
        <v>20.29495934722954</v>
      </c>
    </row>
    <row r="15" spans="1:17" ht="15.75" x14ac:dyDescent="0.25">
      <c r="A15" s="81"/>
      <c r="B15" s="59" t="str">
        <f>Costos!H15</f>
        <v>Hilo de sutura (tanza)</v>
      </c>
      <c r="C15" s="60">
        <f>Costos!K15/Costos!$K$23*100</f>
        <v>0.15521034144819001</v>
      </c>
      <c r="D15" s="86"/>
      <c r="E15" s="60">
        <f t="shared" si="5"/>
        <v>0.77383114016869836</v>
      </c>
      <c r="F15" s="55"/>
      <c r="G15" s="60">
        <f>Costos!O15/Costos!$O$23*100</f>
        <v>0.14570243572932962</v>
      </c>
      <c r="H15" s="86"/>
      <c r="I15" s="60">
        <f t="shared" si="2"/>
        <v>0.77383114016869847</v>
      </c>
      <c r="K15" s="60">
        <f>Costos!S15/Costos!$S$23*100</f>
        <v>9.3754968498928198E-2</v>
      </c>
      <c r="L15" s="86"/>
      <c r="M15" s="60">
        <f t="shared" si="3"/>
        <v>0.77383114016869847</v>
      </c>
      <c r="O15" s="60">
        <f>Costos!W15/Costos!$W$23*100</f>
        <v>6.9875593638435651E-2</v>
      </c>
      <c r="P15" s="86"/>
      <c r="Q15" s="60">
        <f t="shared" si="4"/>
        <v>0.77383114016869836</v>
      </c>
    </row>
    <row r="16" spans="1:17" ht="15.75" x14ac:dyDescent="0.25">
      <c r="A16" s="81"/>
      <c r="B16" s="59" t="str">
        <f>Costos!H16</f>
        <v>Tela adhesiva</v>
      </c>
      <c r="C16" s="60">
        <f>Costos!K16/Costos!$K$23*100</f>
        <v>0.93873939737454548</v>
      </c>
      <c r="D16" s="86"/>
      <c r="E16" s="60">
        <f t="shared" si="5"/>
        <v>4.680266607325942</v>
      </c>
      <c r="F16" s="55"/>
      <c r="G16" s="60">
        <f>Costos!O16/Costos!$O$23*100</f>
        <v>0.88123391416035901</v>
      </c>
      <c r="H16" s="86"/>
      <c r="I16" s="60">
        <f t="shared" si="2"/>
        <v>4.6802666073259411</v>
      </c>
      <c r="K16" s="60">
        <f>Costos!S16/Costos!$S$23*100</f>
        <v>0.56704651125925143</v>
      </c>
      <c r="L16" s="86"/>
      <c r="M16" s="60">
        <f t="shared" si="3"/>
        <v>4.680266607325942</v>
      </c>
      <c r="O16" s="60">
        <f>Costos!W16/Costos!$W$23*100</f>
        <v>0.4226198592909457</v>
      </c>
      <c r="P16" s="86"/>
      <c r="Q16" s="60">
        <f t="shared" si="4"/>
        <v>4.6802666073259411</v>
      </c>
    </row>
    <row r="17" spans="1:17" ht="15.75" x14ac:dyDescent="0.25">
      <c r="A17" s="81"/>
      <c r="B17" s="59" t="str">
        <f>Costos!H17</f>
        <v>Algodón</v>
      </c>
      <c r="C17" s="60">
        <f>Costos!K17/Costos!$K$23*100</f>
        <v>3.8338432531431015</v>
      </c>
      <c r="D17" s="86"/>
      <c r="E17" s="60">
        <f t="shared" si="5"/>
        <v>19.114366144205107</v>
      </c>
      <c r="F17" s="55"/>
      <c r="G17" s="60">
        <f>Costos!O17/Costos!$O$23*100</f>
        <v>3.5989889267389463</v>
      </c>
      <c r="H17" s="86"/>
      <c r="I17" s="60">
        <f t="shared" si="2"/>
        <v>19.11436614420511</v>
      </c>
      <c r="K17" s="60">
        <f>Costos!S17/Costos!$S$23*100</f>
        <v>2.3158370123697161</v>
      </c>
      <c r="L17" s="86"/>
      <c r="M17" s="60">
        <f t="shared" si="3"/>
        <v>19.11436614420511</v>
      </c>
      <c r="O17" s="60">
        <f>Costos!W17/Costos!$W$23*100</f>
        <v>1.7259937110537784</v>
      </c>
      <c r="P17" s="86"/>
      <c r="Q17" s="60">
        <f t="shared" si="4"/>
        <v>19.114366144205107</v>
      </c>
    </row>
    <row r="18" spans="1:17" ht="15.75" x14ac:dyDescent="0.25">
      <c r="A18" s="81"/>
      <c r="B18" s="59" t="str">
        <f>Costos!H18</f>
        <v>Gasa</v>
      </c>
      <c r="C18" s="60">
        <f>Costos!K18/Costos!$K$23*100</f>
        <v>3.2658664748996791</v>
      </c>
      <c r="D18" s="87"/>
      <c r="E18" s="60">
        <f t="shared" si="5"/>
        <v>16.282608196915461</v>
      </c>
      <c r="F18" s="55"/>
      <c r="G18" s="60">
        <f>Costos!O18/Costos!$O$23*100</f>
        <v>3.06580538203688</v>
      </c>
      <c r="H18" s="87"/>
      <c r="I18" s="60">
        <f t="shared" si="2"/>
        <v>16.282608196915461</v>
      </c>
      <c r="K18" s="60">
        <f>Costos!S18/Costos!$S$23*100</f>
        <v>1.9727500475742024</v>
      </c>
      <c r="L18" s="87"/>
      <c r="M18" s="60">
        <f t="shared" si="3"/>
        <v>16.282608196915461</v>
      </c>
      <c r="O18" s="60">
        <f>Costos!W18/Costos!$W$23*100</f>
        <v>1.4702909390458112</v>
      </c>
      <c r="P18" s="87"/>
      <c r="Q18" s="60">
        <f t="shared" si="4"/>
        <v>16.282608196915461</v>
      </c>
    </row>
    <row r="19" spans="1:17" ht="15.75" x14ac:dyDescent="0.25">
      <c r="A19" s="82" t="s">
        <v>76</v>
      </c>
      <c r="B19" s="20" t="str">
        <f>Costos!H19</f>
        <v>Iodopovidona</v>
      </c>
      <c r="C19" s="19">
        <f>Costos!K19/Costos!$K$23*100</f>
        <v>7.553943022293752</v>
      </c>
      <c r="D19" s="88">
        <f>SUM(C19:C21)</f>
        <v>17.108495229789391</v>
      </c>
      <c r="E19" s="34">
        <f>C19/$D$19*100</f>
        <v>44.153170228207983</v>
      </c>
      <c r="F19" s="55"/>
      <c r="G19" s="19">
        <f>Costos!O19/Costos!$O$23*100</f>
        <v>7.0912020902690189</v>
      </c>
      <c r="H19" s="88">
        <f>SUM(G19:G21)</f>
        <v>8.7547267519862935</v>
      </c>
      <c r="I19" s="34">
        <f>G19/$H$19*100</f>
        <v>80.9985541657271</v>
      </c>
      <c r="K19" s="19">
        <f>Costos!S19/Costos!$S$23*100</f>
        <v>4.5629671546999102</v>
      </c>
      <c r="L19" s="88">
        <f>SUM(K19:K21)</f>
        <v>10.334404372587459</v>
      </c>
      <c r="M19" s="34">
        <f>K19/$L$19*100</f>
        <v>44.153170228207991</v>
      </c>
      <c r="O19" s="19">
        <f>Costos!W19/Costos!$W$23*100</f>
        <v>3.4007801804230229</v>
      </c>
      <c r="P19" s="88">
        <f>SUM(O19:O21)</f>
        <v>7.7022333002271672</v>
      </c>
      <c r="Q19" s="34">
        <f>O19/$P$19*100</f>
        <v>44.153170228207983</v>
      </c>
    </row>
    <row r="20" spans="1:17" ht="15.75" x14ac:dyDescent="0.25">
      <c r="A20" s="82"/>
      <c r="B20" s="20" t="str">
        <f>Costos!H20</f>
        <v>Agua Oxigenada</v>
      </c>
      <c r="C20" s="19">
        <f>Costos!K20/Costos!$K$23*100</f>
        <v>1.7720790284678041</v>
      </c>
      <c r="D20" s="89"/>
      <c r="E20" s="34">
        <f t="shared" ref="E20:E21" si="6">C20/$D$19*100</f>
        <v>10.357889485115278</v>
      </c>
      <c r="F20" s="55"/>
      <c r="G20" s="19">
        <f>Costos!O20/Costos!$O$23*100</f>
        <v>1.6635246617172754</v>
      </c>
      <c r="H20" s="89"/>
      <c r="I20" s="34">
        <f>G20/$H$19*100</f>
        <v>19.001445834272911</v>
      </c>
      <c r="K20" s="19">
        <f>Costos!S20/Costos!$S$23*100</f>
        <v>1.0704261838575302</v>
      </c>
      <c r="L20" s="89"/>
      <c r="M20" s="34">
        <f>K20/$L$19*100</f>
        <v>10.357889485115281</v>
      </c>
      <c r="O20" s="19">
        <f>Costos!W20/Costos!$W$23*100</f>
        <v>0.79778881312327732</v>
      </c>
      <c r="P20" s="89"/>
      <c r="Q20" s="34">
        <f>O20/$P$19*100</f>
        <v>10.35788948511528</v>
      </c>
    </row>
    <row r="21" spans="1:17" ht="15.75" x14ac:dyDescent="0.25">
      <c r="A21" s="82"/>
      <c r="B21" s="20" t="str">
        <f>Costos!H21</f>
        <v>Curabichera aerosol</v>
      </c>
      <c r="C21" s="19">
        <f>Costos!K21/Costos!$K$23*100</f>
        <v>7.7824731790278321</v>
      </c>
      <c r="D21" s="90"/>
      <c r="E21" s="34">
        <f t="shared" si="6"/>
        <v>45.48894028667673</v>
      </c>
      <c r="F21" s="55"/>
      <c r="G21" s="19">
        <f>Costos!O21/Costos!$O$23*100</f>
        <v>0</v>
      </c>
      <c r="H21" s="90"/>
      <c r="I21" s="34">
        <f>G21/$H$19*100</f>
        <v>0</v>
      </c>
      <c r="K21" s="19">
        <f>Costos!S21/Costos!$S$23*100</f>
        <v>4.7010110340300182</v>
      </c>
      <c r="L21" s="90"/>
      <c r="M21" s="34">
        <f>K21/$L$19*100</f>
        <v>45.48894028667673</v>
      </c>
      <c r="O21" s="19">
        <f>Costos!W21/Costos!$W$23*100</f>
        <v>3.503664306680867</v>
      </c>
      <c r="P21" s="90"/>
      <c r="Q21" s="34">
        <f>O21/$P$19*100</f>
        <v>45.488940286676737</v>
      </c>
    </row>
    <row r="22" spans="1:17" ht="65.25" customHeight="1" x14ac:dyDescent="0.25">
      <c r="A22" s="66" t="s">
        <v>77</v>
      </c>
      <c r="B22" s="61" t="str">
        <f>Costos!H22</f>
        <v>Varios (formalina, cloruro de benzalconio, barbijos, camisolines, cofias)</v>
      </c>
      <c r="C22" s="60">
        <f>Costos!K22/Costos!$K$23*100</f>
        <v>9.0909090909090917</v>
      </c>
      <c r="D22" s="60">
        <f>C22</f>
        <v>9.0909090909090917</v>
      </c>
      <c r="E22" s="60">
        <v>100</v>
      </c>
      <c r="F22" s="55"/>
      <c r="G22" s="60">
        <f>Costos!O22/Costos!$O$23*100</f>
        <v>8.5340163882153899</v>
      </c>
      <c r="H22" s="60">
        <f>G22</f>
        <v>8.5340163882153899</v>
      </c>
      <c r="I22" s="60">
        <v>100</v>
      </c>
      <c r="K22" s="60">
        <f>Costos!S22/Costos!$S$23*100</f>
        <v>5.4913731101436287</v>
      </c>
      <c r="L22" s="60">
        <f>K22</f>
        <v>5.4913731101436287</v>
      </c>
      <c r="M22" s="60">
        <v>100</v>
      </c>
      <c r="O22" s="60">
        <f>Costos!W22/Costos!$W$23*100</f>
        <v>4.0927212936540576</v>
      </c>
      <c r="P22" s="60">
        <f>O22</f>
        <v>4.0927212936540576</v>
      </c>
      <c r="Q22" s="60">
        <v>100</v>
      </c>
    </row>
  </sheetData>
  <sheetProtection algorithmName="SHA-512" hashValue="RDHRu3LN0TTQWSVGGGaNHfTLOAUQUd3saDnTGHHcvSrY2600mTjul0Lon4f7WFaQQ7ON8Zkpr8W8zWQdUWzZ2g==" saltValue="qQRf7KfIqwTNizgG5S6wIA==" spinCount="100000" sheet="1" objects="1" scenarios="1"/>
  <mergeCells count="24">
    <mergeCell ref="P19:P21"/>
    <mergeCell ref="D13:D18"/>
    <mergeCell ref="C1:E1"/>
    <mergeCell ref="D3:D7"/>
    <mergeCell ref="O1:Q1"/>
    <mergeCell ref="P3:P7"/>
    <mergeCell ref="P8:P12"/>
    <mergeCell ref="P13:P18"/>
    <mergeCell ref="A3:A7"/>
    <mergeCell ref="A8:A12"/>
    <mergeCell ref="A13:A18"/>
    <mergeCell ref="A19:A21"/>
    <mergeCell ref="K1:M1"/>
    <mergeCell ref="L3:L7"/>
    <mergeCell ref="L8:L12"/>
    <mergeCell ref="L13:L18"/>
    <mergeCell ref="L19:L21"/>
    <mergeCell ref="G1:I1"/>
    <mergeCell ref="H3:H7"/>
    <mergeCell ref="H8:H12"/>
    <mergeCell ref="H13:H18"/>
    <mergeCell ref="H19:H21"/>
    <mergeCell ref="D19:D21"/>
    <mergeCell ref="D8:D12"/>
  </mergeCells>
  <conditionalFormatting sqref="C3:C22">
    <cfRule type="expression" dxfId="39" priority="47">
      <formula>C3=MAX(C$3:C$22)</formula>
    </cfRule>
  </conditionalFormatting>
  <conditionalFormatting sqref="D3 D8 D13 D19 D22">
    <cfRule type="expression" dxfId="38" priority="46">
      <formula>D3=MAX(D$3:D$22)</formula>
    </cfRule>
  </conditionalFormatting>
  <conditionalFormatting sqref="E3">
    <cfRule type="expression" dxfId="37" priority="41">
      <formula>E3=MAX(E$3:E$7)</formula>
    </cfRule>
  </conditionalFormatting>
  <conditionalFormatting sqref="E4:E7">
    <cfRule type="expression" dxfId="36" priority="40">
      <formula>E4=MAX(E$3:E$7)</formula>
    </cfRule>
  </conditionalFormatting>
  <conditionalFormatting sqref="E8">
    <cfRule type="expression" dxfId="35" priority="37">
      <formula>E8=MAX(E$8:E$12)</formula>
    </cfRule>
  </conditionalFormatting>
  <conditionalFormatting sqref="E9:E12">
    <cfRule type="expression" dxfId="34" priority="35">
      <formula>E9=MAX(E$8:E$12)</formula>
    </cfRule>
  </conditionalFormatting>
  <conditionalFormatting sqref="E13">
    <cfRule type="expression" dxfId="33" priority="34">
      <formula>E13=MAX(E$13:E$18)</formula>
    </cfRule>
  </conditionalFormatting>
  <conditionalFormatting sqref="E14:E18">
    <cfRule type="expression" dxfId="32" priority="33">
      <formula>E14=MAX(E$13:E$18)</formula>
    </cfRule>
  </conditionalFormatting>
  <conditionalFormatting sqref="E19">
    <cfRule type="expression" dxfId="31" priority="32">
      <formula>E19=MAX(E$19:E$21)</formula>
    </cfRule>
  </conditionalFormatting>
  <conditionalFormatting sqref="E20:E21">
    <cfRule type="expression" dxfId="30" priority="31">
      <formula>E20=MAX(E$19:E$21)</formula>
    </cfRule>
  </conditionalFormatting>
  <conditionalFormatting sqref="G3:G22">
    <cfRule type="expression" dxfId="29" priority="30">
      <formula>G3=MAX(G$3:G$22)</formula>
    </cfRule>
  </conditionalFormatting>
  <conditionalFormatting sqref="H3 H8 H13 H19 H22">
    <cfRule type="expression" dxfId="28" priority="29">
      <formula>H3=MAX(H$3:H$22)</formula>
    </cfRule>
  </conditionalFormatting>
  <conditionalFormatting sqref="I3">
    <cfRule type="expression" dxfId="27" priority="28">
      <formula>I3=MAX(I$3:I$7)</formula>
    </cfRule>
  </conditionalFormatting>
  <conditionalFormatting sqref="I4:I7">
    <cfRule type="expression" dxfId="26" priority="27">
      <formula>I4=MAX(I$3:I$7)</formula>
    </cfRule>
  </conditionalFormatting>
  <conditionalFormatting sqref="I8">
    <cfRule type="expression" dxfId="25" priority="26">
      <formula>I8=MAX(I$8:I$12)</formula>
    </cfRule>
  </conditionalFormatting>
  <conditionalFormatting sqref="I9:I12">
    <cfRule type="expression" dxfId="24" priority="25">
      <formula>I9=MAX(I$8:I$12)</formula>
    </cfRule>
  </conditionalFormatting>
  <conditionalFormatting sqref="I13">
    <cfRule type="expression" dxfId="23" priority="24">
      <formula>I13=MAX(I$13:I$18)</formula>
    </cfRule>
  </conditionalFormatting>
  <conditionalFormatting sqref="I14:I18">
    <cfRule type="expression" dxfId="22" priority="23">
      <formula>I14=MAX(I$13:I$18)</formula>
    </cfRule>
  </conditionalFormatting>
  <conditionalFormatting sqref="I19">
    <cfRule type="expression" dxfId="21" priority="22">
      <formula>I19=MAX(I$19:I$21)</formula>
    </cfRule>
  </conditionalFormatting>
  <conditionalFormatting sqref="I20:I21">
    <cfRule type="expression" dxfId="20" priority="21">
      <formula>I20=MAX(I$19:I$21)</formula>
    </cfRule>
  </conditionalFormatting>
  <conditionalFormatting sqref="K3:K22">
    <cfRule type="expression" dxfId="19" priority="20">
      <formula>K3=MAX(K$3:K$22)</formula>
    </cfRule>
  </conditionalFormatting>
  <conditionalFormatting sqref="L3 L8 L13 L19 L22">
    <cfRule type="expression" dxfId="18" priority="19">
      <formula>L3=MAX(L$3:L$22)</formula>
    </cfRule>
  </conditionalFormatting>
  <conditionalFormatting sqref="M3">
    <cfRule type="expression" dxfId="17" priority="18">
      <formula>M3=MAX(M$3:M$7)</formula>
    </cfRule>
  </conditionalFormatting>
  <conditionalFormatting sqref="M4:M7">
    <cfRule type="expression" dxfId="16" priority="17">
      <formula>M4=MAX(M$3:M$7)</formula>
    </cfRule>
  </conditionalFormatting>
  <conditionalFormatting sqref="M8">
    <cfRule type="expression" dxfId="15" priority="16">
      <formula>M8=MAX(M$8:M$12)</formula>
    </cfRule>
  </conditionalFormatting>
  <conditionalFormatting sqref="M9:M12">
    <cfRule type="expression" dxfId="14" priority="15">
      <formula>M9=MAX(M$8:M$12)</formula>
    </cfRule>
  </conditionalFormatting>
  <conditionalFormatting sqref="M13">
    <cfRule type="expression" dxfId="13" priority="14">
      <formula>M13=MAX(M$13:M$18)</formula>
    </cfRule>
  </conditionalFormatting>
  <conditionalFormatting sqref="M14:M18">
    <cfRule type="expression" dxfId="12" priority="13">
      <formula>M14=MAX(M$13:M$18)</formula>
    </cfRule>
  </conditionalFormatting>
  <conditionalFormatting sqref="M19">
    <cfRule type="expression" dxfId="11" priority="12">
      <formula>M19=MAX(M$19:M$21)</formula>
    </cfRule>
  </conditionalFormatting>
  <conditionalFormatting sqref="M20:M21">
    <cfRule type="expression" dxfId="10" priority="11">
      <formula>M20=MAX(M$19:M$21)</formula>
    </cfRule>
  </conditionalFormatting>
  <conditionalFormatting sqref="O3:O22">
    <cfRule type="expression" dxfId="9" priority="10">
      <formula>O3=MAX(O$3:O$22)</formula>
    </cfRule>
  </conditionalFormatting>
  <conditionalFormatting sqref="P3 P8 P13 P19 P22">
    <cfRule type="expression" dxfId="8" priority="9">
      <formula>P3=MAX(P$3:P$22)</formula>
    </cfRule>
  </conditionalFormatting>
  <conditionalFormatting sqref="Q3">
    <cfRule type="expression" dxfId="7" priority="8">
      <formula>Q3=MAX(Q$3:Q$7)</formula>
    </cfRule>
  </conditionalFormatting>
  <conditionalFormatting sqref="Q4:Q7">
    <cfRule type="expression" dxfId="6" priority="7">
      <formula>Q4=MAX(Q$3:Q$7)</formula>
    </cfRule>
  </conditionalFormatting>
  <conditionalFormatting sqref="Q8">
    <cfRule type="expression" dxfId="5" priority="6">
      <formula>Q8=MAX(Q$8:Q$12)</formula>
    </cfRule>
  </conditionalFormatting>
  <conditionalFormatting sqref="Q9:Q12">
    <cfRule type="expression" dxfId="4" priority="5">
      <formula>Q9=MAX(Q$8:Q$12)</formula>
    </cfRule>
  </conditionalFormatting>
  <conditionalFormatting sqref="Q13">
    <cfRule type="expression" dxfId="3" priority="4">
      <formula>Q13=MAX(Q$13:Q$18)</formula>
    </cfRule>
  </conditionalFormatting>
  <conditionalFormatting sqref="Q14:Q18">
    <cfRule type="expression" dxfId="2" priority="3">
      <formula>Q14=MAX(Q$13:Q$18)</formula>
    </cfRule>
  </conditionalFormatting>
  <conditionalFormatting sqref="Q19">
    <cfRule type="expression" dxfId="1" priority="2">
      <formula>Q19=MAX(Q$19:Q$21)</formula>
    </cfRule>
  </conditionalFormatting>
  <conditionalFormatting sqref="Q20:Q21">
    <cfRule type="expression" dxfId="0" priority="1">
      <formula>Q20=MAX(Q$19:Q$21)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" sqref="B4"/>
    </sheetView>
  </sheetViews>
  <sheetFormatPr baseColWidth="10" defaultRowHeight="15" x14ac:dyDescent="0.25"/>
  <sheetData/>
  <sheetProtection algorithmName="SHA-512" hashValue="Re+LXDy0waGZUMNm+SjHiELoMNxIaT3eWxaOVc688QkLizesp9iS6SMmXErnRK8YDXeTfLIQJM/Dy/qDMrN1aw==" saltValue="SXoXem62+qY9jylXXiLPuQ==" spinCount="100000"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Precios</vt:lpstr>
      <vt:lpstr>Costos</vt:lpstr>
      <vt:lpstr>Composición porcentual costos</vt:lpstr>
      <vt:lpstr>Hoja1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 Ceconi</dc:creator>
  <cp:lastModifiedBy>Irene Ceconi</cp:lastModifiedBy>
  <dcterms:created xsi:type="dcterms:W3CDTF">2015-10-22T22:52:37Z</dcterms:created>
  <dcterms:modified xsi:type="dcterms:W3CDTF">2022-08-11T01:26:53Z</dcterms:modified>
</cp:coreProperties>
</file>